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REQETDOS\2010 a 2013\"/>
    </mc:Choice>
  </mc:AlternateContent>
  <bookViews>
    <workbookView xWindow="0" yWindow="0" windowWidth="20490" windowHeight="7755"/>
  </bookViews>
  <sheets>
    <sheet name="im part pro 2010" sheetId="1" r:id="rId1"/>
  </sheets>
  <calcPr calcId="0"/>
</workbook>
</file>

<file path=xl/calcChain.xml><?xml version="1.0" encoding="utf-8"?>
<calcChain xmlns="http://schemas.openxmlformats.org/spreadsheetml/2006/main">
  <c r="B3" i="1" l="1"/>
  <c r="B4" i="1"/>
  <c r="B5" i="1"/>
  <c r="B6" i="1"/>
  <c r="B7" i="1"/>
  <c r="B8" i="1"/>
  <c r="B9" i="1"/>
  <c r="C14" i="1"/>
  <c r="D14" i="1"/>
  <c r="C15" i="1"/>
  <c r="D15" i="1"/>
  <c r="A11562" i="1"/>
  <c r="B11562" i="1"/>
  <c r="A16" i="1"/>
  <c r="B16" i="1"/>
  <c r="A17" i="1"/>
  <c r="B17" i="1"/>
  <c r="A18" i="1"/>
  <c r="B18" i="1"/>
  <c r="A19" i="1"/>
  <c r="B19" i="1"/>
  <c r="A20" i="1"/>
  <c r="B20" i="1"/>
  <c r="A21" i="1"/>
  <c r="A22" i="1"/>
  <c r="B22" i="1"/>
  <c r="A23" i="1"/>
  <c r="B23" i="1"/>
  <c r="A24" i="1"/>
  <c r="B24" i="1"/>
  <c r="A25" i="1"/>
  <c r="B25" i="1"/>
  <c r="A26" i="1"/>
  <c r="B26" i="1"/>
  <c r="A27" i="1"/>
  <c r="A28" i="1"/>
  <c r="A29" i="1"/>
  <c r="B29" i="1"/>
  <c r="A30" i="1"/>
  <c r="B30" i="1"/>
  <c r="A31" i="1"/>
  <c r="B31" i="1"/>
  <c r="A32" i="1"/>
  <c r="B32" i="1"/>
  <c r="A33" i="1"/>
  <c r="B33" i="1"/>
  <c r="A34" i="1"/>
  <c r="A35" i="1"/>
  <c r="B35" i="1"/>
  <c r="A36" i="1"/>
  <c r="B36" i="1"/>
  <c r="A37" i="1"/>
  <c r="A38" i="1"/>
  <c r="B38" i="1"/>
  <c r="A39" i="1"/>
  <c r="B39" i="1"/>
  <c r="A40" i="1"/>
  <c r="B40" i="1"/>
  <c r="A41" i="1"/>
  <c r="B41" i="1"/>
  <c r="A42" i="1"/>
  <c r="B42" i="1"/>
  <c r="A43" i="1"/>
  <c r="A44" i="1"/>
  <c r="B44" i="1"/>
  <c r="A45" i="1"/>
  <c r="A46" i="1"/>
  <c r="B46" i="1"/>
  <c r="A47" i="1"/>
  <c r="B47" i="1"/>
  <c r="A48" i="1"/>
  <c r="B48" i="1"/>
  <c r="A49" i="1"/>
  <c r="A50" i="1"/>
  <c r="B50" i="1"/>
  <c r="A51" i="1"/>
  <c r="B51" i="1"/>
  <c r="A52" i="1"/>
  <c r="B52" i="1"/>
  <c r="A53" i="1"/>
  <c r="B53" i="1"/>
  <c r="A54" i="1"/>
  <c r="B54" i="1"/>
  <c r="A55" i="1"/>
  <c r="B55" i="1"/>
  <c r="A56" i="1"/>
  <c r="A57" i="1"/>
  <c r="B57" i="1"/>
  <c r="A58" i="1"/>
  <c r="B58" i="1"/>
  <c r="A59" i="1"/>
  <c r="A60" i="1"/>
  <c r="B60" i="1"/>
  <c r="A61" i="1"/>
  <c r="B61" i="1"/>
  <c r="A62" i="1"/>
  <c r="B62" i="1"/>
  <c r="A63" i="1"/>
  <c r="B63" i="1"/>
  <c r="A64" i="1"/>
  <c r="B64" i="1"/>
  <c r="A65" i="1"/>
  <c r="A66" i="1"/>
  <c r="A67" i="1"/>
  <c r="B67" i="1"/>
  <c r="A68" i="1"/>
  <c r="B68" i="1"/>
  <c r="A69" i="1"/>
  <c r="B69" i="1"/>
  <c r="A70" i="1"/>
  <c r="B70" i="1"/>
  <c r="A71" i="1"/>
  <c r="B71" i="1"/>
  <c r="A72" i="1"/>
  <c r="B72" i="1"/>
  <c r="A73" i="1"/>
  <c r="B73" i="1"/>
  <c r="A74" i="1"/>
  <c r="A75" i="1"/>
  <c r="A76" i="1"/>
  <c r="A77" i="1"/>
  <c r="B77" i="1"/>
  <c r="A78" i="1"/>
  <c r="B78" i="1"/>
  <c r="A79" i="1"/>
  <c r="B79" i="1"/>
  <c r="A80" i="1"/>
  <c r="B80" i="1"/>
  <c r="A81" i="1"/>
  <c r="A82" i="1"/>
  <c r="A83" i="1"/>
  <c r="B83" i="1"/>
  <c r="A84" i="1"/>
  <c r="B84" i="1"/>
  <c r="A85" i="1"/>
  <c r="B85" i="1"/>
  <c r="A86" i="1"/>
  <c r="B86" i="1"/>
  <c r="A87" i="1"/>
  <c r="B87" i="1"/>
  <c r="A88" i="1"/>
  <c r="B88" i="1"/>
  <c r="A89" i="1"/>
  <c r="B89" i="1"/>
  <c r="A90" i="1"/>
  <c r="A91" i="1"/>
  <c r="B91" i="1"/>
  <c r="A92" i="1"/>
  <c r="A93" i="1"/>
  <c r="B93" i="1"/>
  <c r="A94" i="1"/>
  <c r="B94" i="1"/>
  <c r="A95" i="1"/>
  <c r="B95" i="1"/>
  <c r="A96" i="1"/>
  <c r="B96" i="1"/>
  <c r="A97" i="1"/>
  <c r="B97" i="1"/>
  <c r="A98" i="1"/>
  <c r="B98" i="1"/>
  <c r="A99" i="1"/>
  <c r="B99" i="1"/>
  <c r="A100" i="1"/>
  <c r="B100" i="1"/>
  <c r="A101" i="1"/>
  <c r="A102" i="1"/>
  <c r="B102" i="1"/>
  <c r="A103" i="1"/>
  <c r="A104" i="1"/>
  <c r="A105" i="1"/>
  <c r="B105" i="1"/>
  <c r="A106" i="1"/>
  <c r="A107" i="1"/>
  <c r="B107" i="1"/>
  <c r="A108" i="1"/>
  <c r="B108" i="1"/>
  <c r="A109" i="1"/>
  <c r="B109" i="1"/>
  <c r="A110" i="1"/>
  <c r="B110" i="1"/>
  <c r="A111" i="1"/>
  <c r="B111" i="1"/>
  <c r="A112" i="1"/>
  <c r="B112" i="1"/>
  <c r="A113" i="1"/>
  <c r="A114" i="1"/>
  <c r="B114" i="1"/>
  <c r="A115" i="1"/>
  <c r="B115" i="1"/>
  <c r="A116" i="1"/>
  <c r="A117" i="1"/>
  <c r="B117" i="1"/>
  <c r="A118" i="1"/>
  <c r="B118" i="1"/>
  <c r="A119" i="1"/>
  <c r="B119" i="1"/>
  <c r="A120" i="1"/>
  <c r="A121" i="1"/>
  <c r="A122" i="1"/>
  <c r="B122" i="1"/>
  <c r="A123" i="1"/>
  <c r="B123" i="1"/>
  <c r="A124" i="1"/>
  <c r="A125" i="1"/>
  <c r="A126" i="1"/>
  <c r="B126" i="1"/>
  <c r="A127" i="1"/>
  <c r="A128" i="1"/>
  <c r="A129" i="1"/>
  <c r="A130" i="1"/>
  <c r="A131" i="1"/>
  <c r="A132" i="1"/>
  <c r="A133" i="1"/>
  <c r="B133" i="1"/>
  <c r="A134" i="1"/>
  <c r="B134" i="1"/>
  <c r="A135" i="1"/>
  <c r="B135" i="1"/>
  <c r="A136" i="1"/>
  <c r="B136" i="1"/>
  <c r="A137" i="1"/>
  <c r="B137" i="1"/>
  <c r="A138" i="1"/>
  <c r="B138" i="1"/>
  <c r="A139" i="1"/>
  <c r="A140" i="1"/>
  <c r="B140" i="1"/>
  <c r="A141" i="1"/>
  <c r="B141" i="1"/>
  <c r="A142" i="1"/>
  <c r="B142" i="1"/>
  <c r="A143" i="1"/>
  <c r="B143" i="1"/>
  <c r="A144" i="1"/>
  <c r="A145" i="1"/>
  <c r="B145" i="1"/>
  <c r="A146" i="1"/>
  <c r="B146" i="1"/>
  <c r="A147" i="1"/>
  <c r="B147" i="1"/>
  <c r="A148" i="1"/>
  <c r="B148" i="1"/>
  <c r="A149" i="1"/>
  <c r="B149" i="1"/>
  <c r="A150" i="1"/>
  <c r="B150" i="1"/>
  <c r="A151" i="1"/>
  <c r="A152" i="1"/>
  <c r="B152" i="1"/>
  <c r="A153" i="1"/>
  <c r="B153" i="1"/>
  <c r="A154" i="1"/>
  <c r="B154" i="1"/>
  <c r="A155" i="1"/>
  <c r="B155" i="1"/>
  <c r="A156" i="1"/>
  <c r="B156" i="1"/>
  <c r="A157" i="1"/>
  <c r="B157" i="1"/>
  <c r="A158" i="1"/>
  <c r="A159" i="1"/>
  <c r="A160" i="1"/>
  <c r="B160" i="1"/>
  <c r="A161" i="1"/>
  <c r="B161" i="1"/>
  <c r="A162" i="1"/>
  <c r="B162" i="1"/>
  <c r="A163" i="1"/>
  <c r="B163" i="1"/>
  <c r="A164" i="1"/>
  <c r="B164" i="1"/>
  <c r="A165" i="1"/>
  <c r="B165" i="1"/>
  <c r="A166" i="1"/>
  <c r="B166" i="1"/>
  <c r="A167" i="1"/>
  <c r="A168" i="1"/>
  <c r="B168" i="1"/>
  <c r="A169" i="1"/>
  <c r="A170" i="1"/>
  <c r="B170" i="1"/>
  <c r="A171" i="1"/>
  <c r="B171" i="1"/>
  <c r="A172" i="1"/>
  <c r="A173" i="1"/>
  <c r="B173" i="1"/>
  <c r="A174" i="1"/>
  <c r="A175" i="1"/>
  <c r="B175" i="1"/>
  <c r="A176" i="1"/>
  <c r="B176" i="1"/>
  <c r="A177" i="1"/>
  <c r="B177" i="1"/>
  <c r="A178" i="1"/>
  <c r="B178" i="1"/>
  <c r="A179" i="1"/>
  <c r="B179" i="1"/>
  <c r="A180" i="1"/>
  <c r="B180" i="1"/>
  <c r="A181" i="1"/>
  <c r="B181" i="1"/>
  <c r="A182" i="1"/>
  <c r="A183" i="1"/>
  <c r="B183" i="1"/>
  <c r="A184" i="1"/>
  <c r="A185" i="1"/>
  <c r="A186" i="1"/>
  <c r="B186" i="1"/>
  <c r="A187" i="1"/>
  <c r="B187" i="1"/>
  <c r="A188" i="1"/>
  <c r="B188" i="1"/>
  <c r="A189" i="1"/>
  <c r="B189" i="1"/>
  <c r="A190" i="1"/>
  <c r="B190" i="1"/>
  <c r="A191" i="1"/>
  <c r="B191" i="1"/>
  <c r="A192" i="1"/>
  <c r="B192" i="1"/>
  <c r="A193" i="1"/>
  <c r="B193" i="1"/>
  <c r="A194" i="1"/>
  <c r="B194" i="1"/>
  <c r="A195" i="1"/>
  <c r="B195" i="1"/>
  <c r="A196" i="1"/>
  <c r="B196" i="1"/>
  <c r="A197" i="1"/>
  <c r="B197" i="1"/>
  <c r="A198" i="1"/>
  <c r="B198" i="1"/>
  <c r="A199" i="1"/>
  <c r="A200" i="1"/>
  <c r="B200" i="1"/>
  <c r="A201" i="1"/>
  <c r="B201" i="1"/>
  <c r="A202" i="1"/>
  <c r="B202" i="1"/>
  <c r="A203" i="1"/>
  <c r="A204" i="1"/>
  <c r="B204" i="1"/>
  <c r="A205" i="1"/>
  <c r="B205" i="1"/>
  <c r="A206" i="1"/>
  <c r="A207" i="1"/>
  <c r="B207" i="1"/>
  <c r="A208" i="1"/>
  <c r="B208" i="1"/>
  <c r="A209" i="1"/>
  <c r="B209" i="1"/>
  <c r="A210" i="1"/>
  <c r="B210" i="1"/>
  <c r="A211" i="1"/>
  <c r="A212" i="1"/>
  <c r="A213" i="1"/>
  <c r="B213" i="1"/>
  <c r="A214" i="1"/>
  <c r="B214" i="1"/>
  <c r="A215" i="1"/>
  <c r="B215" i="1"/>
  <c r="A216" i="1"/>
  <c r="B216" i="1"/>
  <c r="A217" i="1"/>
  <c r="A218" i="1"/>
  <c r="A219" i="1"/>
  <c r="A220" i="1"/>
  <c r="A221" i="1"/>
  <c r="A222" i="1"/>
  <c r="A223" i="1"/>
  <c r="A224" i="1"/>
  <c r="B224" i="1"/>
  <c r="A225" i="1"/>
  <c r="B225" i="1"/>
  <c r="A226" i="1"/>
  <c r="B226" i="1"/>
  <c r="A227" i="1"/>
  <c r="B227" i="1"/>
  <c r="A228" i="1"/>
  <c r="B228" i="1"/>
  <c r="A229" i="1"/>
  <c r="B229" i="1"/>
  <c r="A230" i="1"/>
  <c r="B230" i="1"/>
  <c r="A231" i="1"/>
  <c r="B231" i="1"/>
  <c r="A232" i="1"/>
  <c r="B232" i="1"/>
  <c r="A233" i="1"/>
  <c r="B233" i="1"/>
  <c r="A234" i="1"/>
  <c r="B234" i="1"/>
  <c r="A235" i="1"/>
  <c r="B235" i="1"/>
  <c r="A236" i="1"/>
  <c r="B236" i="1"/>
  <c r="A237" i="1"/>
  <c r="B237" i="1"/>
  <c r="A238" i="1"/>
  <c r="B238" i="1"/>
  <c r="A239" i="1"/>
  <c r="B239" i="1"/>
  <c r="A240" i="1"/>
  <c r="B240" i="1"/>
  <c r="A241" i="1"/>
  <c r="B241" i="1"/>
  <c r="A242" i="1"/>
  <c r="B242" i="1"/>
  <c r="A243" i="1"/>
  <c r="B243" i="1"/>
  <c r="A244" i="1"/>
  <c r="B244" i="1"/>
  <c r="A245" i="1"/>
  <c r="B245" i="1"/>
  <c r="A246" i="1"/>
  <c r="B246" i="1"/>
  <c r="A247" i="1"/>
  <c r="B247" i="1"/>
  <c r="A248" i="1"/>
  <c r="B248" i="1"/>
  <c r="A249" i="1"/>
  <c r="B249" i="1"/>
  <c r="A250" i="1"/>
  <c r="B250" i="1"/>
  <c r="A251" i="1"/>
  <c r="B251" i="1"/>
  <c r="A252" i="1"/>
  <c r="B252" i="1"/>
  <c r="A253" i="1"/>
  <c r="B253" i="1"/>
  <c r="A254" i="1"/>
  <c r="B254" i="1"/>
  <c r="A255" i="1"/>
  <c r="A256" i="1"/>
  <c r="B256" i="1"/>
  <c r="A257" i="1"/>
  <c r="A258" i="1"/>
  <c r="B258" i="1"/>
  <c r="A259" i="1"/>
  <c r="B259" i="1"/>
  <c r="A260" i="1"/>
  <c r="B260" i="1"/>
  <c r="A261" i="1"/>
  <c r="B261" i="1"/>
  <c r="A262" i="1"/>
  <c r="B262" i="1"/>
  <c r="A263" i="1"/>
  <c r="A264" i="1"/>
  <c r="B264" i="1"/>
  <c r="A265" i="1"/>
  <c r="B265" i="1"/>
  <c r="A266" i="1"/>
  <c r="B266" i="1"/>
  <c r="A267" i="1"/>
  <c r="B267" i="1"/>
  <c r="A268" i="1"/>
  <c r="B268" i="1"/>
  <c r="A269" i="1"/>
  <c r="B269" i="1"/>
  <c r="A270" i="1"/>
  <c r="B270" i="1"/>
  <c r="A271" i="1"/>
  <c r="B271" i="1"/>
  <c r="A272" i="1"/>
  <c r="B272" i="1"/>
  <c r="A273" i="1"/>
  <c r="B273" i="1"/>
  <c r="A274" i="1"/>
  <c r="B274" i="1"/>
  <c r="A275" i="1"/>
  <c r="B275" i="1"/>
  <c r="A276" i="1"/>
  <c r="B276" i="1"/>
  <c r="A277" i="1"/>
  <c r="A278" i="1"/>
  <c r="A279" i="1"/>
  <c r="B279" i="1"/>
  <c r="A280" i="1"/>
  <c r="A281" i="1"/>
  <c r="A282" i="1"/>
  <c r="A283" i="1"/>
  <c r="B283" i="1"/>
  <c r="A284" i="1"/>
  <c r="B284" i="1"/>
  <c r="A285" i="1"/>
  <c r="B285" i="1"/>
  <c r="A286" i="1"/>
  <c r="B286" i="1"/>
  <c r="A287" i="1"/>
  <c r="A288" i="1"/>
  <c r="A289" i="1"/>
  <c r="B289" i="1"/>
  <c r="A290" i="1"/>
  <c r="B290" i="1"/>
  <c r="A291" i="1"/>
  <c r="B291" i="1"/>
  <c r="A292" i="1"/>
  <c r="A293" i="1"/>
  <c r="A294" i="1"/>
  <c r="B294" i="1"/>
  <c r="A295" i="1"/>
  <c r="B295" i="1"/>
  <c r="A296" i="1"/>
  <c r="B296" i="1"/>
  <c r="A297" i="1"/>
  <c r="A298" i="1"/>
  <c r="B298" i="1"/>
  <c r="A299" i="1"/>
  <c r="B299" i="1"/>
  <c r="A300" i="1"/>
  <c r="B300" i="1"/>
  <c r="A301" i="1"/>
  <c r="B301" i="1"/>
  <c r="A302" i="1"/>
  <c r="A303" i="1"/>
  <c r="B303" i="1"/>
  <c r="A304" i="1"/>
  <c r="B304" i="1"/>
  <c r="A305" i="1"/>
  <c r="B305" i="1"/>
  <c r="A306" i="1"/>
  <c r="B306" i="1"/>
  <c r="A307" i="1"/>
  <c r="B307" i="1"/>
  <c r="A308" i="1"/>
  <c r="B308" i="1"/>
  <c r="A309" i="1"/>
  <c r="B309" i="1"/>
  <c r="A310" i="1"/>
  <c r="B310" i="1"/>
  <c r="A311" i="1"/>
  <c r="A312" i="1"/>
  <c r="B312" i="1"/>
  <c r="A313" i="1"/>
  <c r="B313" i="1"/>
  <c r="A314" i="1"/>
  <c r="B314" i="1"/>
  <c r="A315" i="1"/>
  <c r="B315" i="1"/>
  <c r="A316" i="1"/>
  <c r="B316" i="1"/>
  <c r="A317" i="1"/>
  <c r="B317" i="1"/>
  <c r="A318" i="1"/>
  <c r="B318" i="1"/>
  <c r="A319" i="1"/>
  <c r="B319" i="1"/>
  <c r="A320" i="1"/>
  <c r="A321" i="1"/>
  <c r="B321" i="1"/>
  <c r="A322" i="1"/>
  <c r="B322" i="1"/>
  <c r="A323" i="1"/>
  <c r="B323" i="1"/>
  <c r="A324" i="1"/>
  <c r="B324" i="1"/>
  <c r="A325" i="1"/>
  <c r="B325" i="1"/>
  <c r="A326" i="1"/>
  <c r="B326" i="1"/>
  <c r="A327" i="1"/>
  <c r="A328" i="1"/>
  <c r="B328" i="1"/>
  <c r="A329" i="1"/>
  <c r="B329" i="1"/>
  <c r="A330" i="1"/>
  <c r="B330" i="1"/>
  <c r="A331" i="1"/>
  <c r="B331" i="1"/>
  <c r="A332" i="1"/>
  <c r="B332" i="1"/>
  <c r="A333" i="1"/>
  <c r="B333" i="1"/>
  <c r="A334" i="1"/>
  <c r="B334" i="1"/>
  <c r="A335" i="1"/>
  <c r="B335" i="1"/>
  <c r="A336" i="1"/>
  <c r="B336" i="1"/>
  <c r="A337" i="1"/>
  <c r="A338" i="1"/>
  <c r="B338" i="1"/>
  <c r="A339" i="1"/>
  <c r="B339" i="1"/>
  <c r="A340" i="1"/>
  <c r="B340" i="1"/>
  <c r="A341" i="1"/>
  <c r="B341" i="1"/>
  <c r="A342" i="1"/>
  <c r="B342" i="1"/>
  <c r="A343" i="1"/>
  <c r="B343" i="1"/>
  <c r="A344" i="1"/>
  <c r="A345" i="1"/>
  <c r="A346" i="1"/>
  <c r="B346" i="1"/>
  <c r="A347" i="1"/>
  <c r="B347" i="1"/>
  <c r="A348" i="1"/>
  <c r="B348" i="1"/>
  <c r="A349" i="1"/>
  <c r="B349" i="1"/>
  <c r="A350" i="1"/>
  <c r="A351" i="1"/>
  <c r="B351" i="1"/>
  <c r="A352" i="1"/>
  <c r="B352" i="1"/>
  <c r="A353" i="1"/>
  <c r="B353" i="1"/>
  <c r="A354" i="1"/>
  <c r="A355" i="1"/>
  <c r="B355" i="1"/>
  <c r="A356" i="1"/>
  <c r="B356" i="1"/>
  <c r="A357" i="1"/>
  <c r="B357" i="1"/>
  <c r="A358" i="1"/>
  <c r="B358" i="1"/>
  <c r="A359" i="1"/>
  <c r="B359" i="1"/>
  <c r="A360" i="1"/>
  <c r="B360" i="1"/>
  <c r="A361" i="1"/>
  <c r="A362" i="1"/>
  <c r="B362" i="1"/>
  <c r="A363" i="1"/>
  <c r="B363" i="1"/>
  <c r="A364" i="1"/>
  <c r="B364" i="1"/>
  <c r="A365" i="1"/>
  <c r="A366" i="1"/>
  <c r="B366" i="1"/>
  <c r="A367" i="1"/>
  <c r="B367" i="1"/>
  <c r="A368" i="1"/>
  <c r="B368" i="1"/>
  <c r="A369" i="1"/>
  <c r="B369" i="1"/>
  <c r="A370" i="1"/>
  <c r="B370" i="1"/>
  <c r="A371" i="1"/>
  <c r="B371" i="1"/>
  <c r="A372" i="1"/>
  <c r="A373" i="1"/>
  <c r="A374" i="1"/>
  <c r="B374" i="1"/>
  <c r="A375" i="1"/>
  <c r="B375" i="1"/>
  <c r="A376" i="1"/>
  <c r="B376" i="1"/>
  <c r="A377" i="1"/>
  <c r="B377" i="1"/>
  <c r="A378" i="1"/>
  <c r="B378" i="1"/>
  <c r="A379" i="1"/>
  <c r="B379" i="1"/>
  <c r="A380" i="1"/>
  <c r="B380" i="1"/>
  <c r="A381" i="1"/>
  <c r="B381" i="1"/>
  <c r="A382" i="1"/>
  <c r="B382" i="1"/>
  <c r="A383" i="1"/>
  <c r="A384" i="1"/>
  <c r="B384" i="1"/>
  <c r="A385" i="1"/>
  <c r="B385" i="1"/>
  <c r="A386" i="1"/>
  <c r="B386" i="1"/>
  <c r="A387" i="1"/>
  <c r="B387" i="1"/>
  <c r="A388" i="1"/>
  <c r="B388" i="1"/>
  <c r="A389" i="1"/>
  <c r="B389" i="1"/>
  <c r="A390" i="1"/>
  <c r="B390" i="1"/>
  <c r="A391" i="1"/>
  <c r="B391" i="1"/>
  <c r="A392" i="1"/>
  <c r="B392" i="1"/>
  <c r="A393" i="1"/>
  <c r="A394" i="1"/>
  <c r="B394" i="1"/>
  <c r="A395" i="1"/>
  <c r="B395" i="1"/>
  <c r="A396" i="1"/>
  <c r="A397" i="1"/>
  <c r="B397" i="1"/>
  <c r="A398" i="1"/>
  <c r="B398" i="1"/>
  <c r="A399" i="1"/>
  <c r="B399" i="1"/>
  <c r="A400" i="1"/>
  <c r="B400" i="1"/>
  <c r="A401" i="1"/>
  <c r="B401" i="1"/>
  <c r="A402" i="1"/>
  <c r="B402" i="1"/>
  <c r="A403" i="1"/>
  <c r="B403" i="1"/>
  <c r="A404" i="1"/>
  <c r="A405" i="1"/>
  <c r="B405" i="1"/>
  <c r="A406" i="1"/>
  <c r="B406" i="1"/>
  <c r="A407" i="1"/>
  <c r="B407" i="1"/>
  <c r="A408" i="1"/>
  <c r="B408" i="1"/>
  <c r="A409" i="1"/>
  <c r="B409" i="1"/>
  <c r="A410" i="1"/>
  <c r="B410" i="1"/>
  <c r="A411" i="1"/>
  <c r="B411" i="1"/>
  <c r="A412" i="1"/>
  <c r="A413" i="1"/>
  <c r="A414" i="1"/>
  <c r="A415" i="1"/>
  <c r="B415" i="1"/>
  <c r="A416" i="1"/>
  <c r="B416" i="1"/>
  <c r="A417" i="1"/>
  <c r="B417" i="1"/>
  <c r="A418" i="1"/>
  <c r="B418" i="1"/>
  <c r="A419" i="1"/>
  <c r="B419" i="1"/>
  <c r="A420" i="1"/>
  <c r="A421" i="1"/>
  <c r="B421" i="1"/>
  <c r="A422" i="1"/>
  <c r="B422" i="1"/>
  <c r="A423" i="1"/>
  <c r="B423" i="1"/>
  <c r="A424" i="1"/>
  <c r="B424" i="1"/>
  <c r="A425" i="1"/>
  <c r="A426" i="1"/>
  <c r="A427" i="1"/>
  <c r="A428" i="1"/>
  <c r="B428" i="1"/>
  <c r="A429" i="1"/>
  <c r="B429" i="1"/>
  <c r="A430" i="1"/>
  <c r="B430" i="1"/>
  <c r="A431" i="1"/>
  <c r="B431" i="1"/>
  <c r="A432" i="1"/>
  <c r="B432" i="1"/>
  <c r="A433" i="1"/>
  <c r="A434" i="1"/>
  <c r="B434" i="1"/>
  <c r="A435" i="1"/>
  <c r="B435" i="1"/>
  <c r="A436" i="1"/>
  <c r="B436" i="1"/>
  <c r="A437" i="1"/>
  <c r="B437" i="1"/>
  <c r="A438" i="1"/>
  <c r="B438" i="1"/>
  <c r="A439" i="1"/>
  <c r="B439" i="1"/>
  <c r="A440" i="1"/>
  <c r="B440" i="1"/>
  <c r="A441" i="1"/>
  <c r="B441" i="1"/>
  <c r="A442" i="1"/>
  <c r="A443" i="1"/>
  <c r="B443" i="1"/>
  <c r="A444" i="1"/>
  <c r="B444" i="1"/>
  <c r="A445" i="1"/>
  <c r="B445" i="1"/>
  <c r="A446" i="1"/>
  <c r="B446" i="1"/>
  <c r="A447" i="1"/>
  <c r="B447" i="1"/>
  <c r="A448" i="1"/>
  <c r="B448" i="1"/>
  <c r="A449" i="1"/>
  <c r="A450" i="1"/>
  <c r="B450" i="1"/>
  <c r="A451" i="1"/>
  <c r="B451" i="1"/>
  <c r="A452" i="1"/>
  <c r="A453" i="1"/>
  <c r="B453" i="1"/>
  <c r="A454" i="1"/>
  <c r="B454" i="1"/>
  <c r="A455" i="1"/>
  <c r="B455" i="1"/>
  <c r="A456" i="1"/>
  <c r="B456" i="1"/>
  <c r="A457" i="1"/>
  <c r="B457" i="1"/>
  <c r="A458" i="1"/>
  <c r="B458" i="1"/>
  <c r="A459" i="1"/>
  <c r="B459" i="1"/>
  <c r="A460" i="1"/>
  <c r="B460" i="1"/>
  <c r="A461" i="1"/>
  <c r="B461" i="1"/>
  <c r="A462" i="1"/>
  <c r="B462" i="1"/>
  <c r="A463" i="1"/>
  <c r="B463" i="1"/>
  <c r="A464" i="1"/>
  <c r="B464" i="1"/>
  <c r="A465" i="1"/>
  <c r="B465" i="1"/>
  <c r="A466" i="1"/>
  <c r="B466" i="1"/>
  <c r="A467" i="1"/>
  <c r="B467" i="1"/>
  <c r="A468" i="1"/>
  <c r="B468" i="1"/>
  <c r="A469" i="1"/>
  <c r="B469" i="1"/>
  <c r="A470" i="1"/>
  <c r="B470" i="1"/>
  <c r="A471" i="1"/>
  <c r="B471" i="1"/>
  <c r="A472" i="1"/>
  <c r="B472" i="1"/>
  <c r="A473" i="1"/>
  <c r="B473" i="1"/>
  <c r="A474" i="1"/>
  <c r="B474" i="1"/>
  <c r="A475" i="1"/>
  <c r="B475" i="1"/>
  <c r="A476" i="1"/>
  <c r="B476" i="1"/>
  <c r="A477" i="1"/>
  <c r="B477" i="1"/>
  <c r="A478" i="1"/>
  <c r="B478" i="1"/>
  <c r="A479" i="1"/>
  <c r="B479" i="1"/>
  <c r="A480" i="1"/>
  <c r="B480" i="1"/>
  <c r="A481" i="1"/>
  <c r="B481" i="1"/>
  <c r="A482" i="1"/>
  <c r="A483" i="1"/>
  <c r="B483" i="1"/>
  <c r="A484" i="1"/>
  <c r="B484" i="1"/>
  <c r="A485" i="1"/>
  <c r="B485" i="1"/>
  <c r="A486" i="1"/>
  <c r="B486" i="1"/>
  <c r="A487" i="1"/>
  <c r="B487" i="1"/>
  <c r="A488" i="1"/>
  <c r="B488" i="1"/>
  <c r="A489" i="1"/>
  <c r="B489" i="1"/>
  <c r="A490" i="1"/>
  <c r="B490" i="1"/>
  <c r="A491" i="1"/>
  <c r="B491" i="1"/>
  <c r="A492" i="1"/>
  <c r="B492" i="1"/>
  <c r="A493" i="1"/>
  <c r="B493" i="1"/>
  <c r="A494" i="1"/>
  <c r="B494" i="1"/>
  <c r="A495" i="1"/>
  <c r="B495" i="1"/>
  <c r="A496" i="1"/>
  <c r="B496" i="1"/>
  <c r="A497" i="1"/>
  <c r="B497" i="1"/>
  <c r="A498" i="1"/>
  <c r="A499" i="1"/>
  <c r="A500" i="1"/>
  <c r="A501" i="1"/>
  <c r="A502" i="1"/>
  <c r="B502" i="1"/>
  <c r="A503" i="1"/>
  <c r="B503" i="1"/>
  <c r="A504" i="1"/>
  <c r="B504" i="1"/>
  <c r="A505" i="1"/>
  <c r="A506" i="1"/>
  <c r="A507" i="1"/>
  <c r="B507" i="1"/>
  <c r="A508" i="1"/>
  <c r="B508" i="1"/>
  <c r="A509" i="1"/>
  <c r="B509" i="1"/>
  <c r="A510" i="1"/>
  <c r="A511" i="1"/>
  <c r="B511" i="1"/>
  <c r="A512" i="1"/>
  <c r="B512" i="1"/>
  <c r="A513" i="1"/>
  <c r="B513" i="1"/>
  <c r="A514" i="1"/>
  <c r="A515" i="1"/>
  <c r="A516" i="1"/>
  <c r="B516" i="1"/>
  <c r="A517" i="1"/>
  <c r="B517" i="1"/>
  <c r="A518" i="1"/>
  <c r="B518" i="1"/>
  <c r="A519" i="1"/>
  <c r="B519" i="1"/>
  <c r="A520" i="1"/>
  <c r="B520" i="1"/>
  <c r="A521" i="1"/>
  <c r="B521" i="1"/>
  <c r="A522" i="1"/>
  <c r="B522" i="1"/>
  <c r="A523" i="1"/>
  <c r="A524" i="1"/>
  <c r="B524" i="1"/>
  <c r="A525" i="1"/>
  <c r="A526" i="1"/>
  <c r="B526" i="1"/>
  <c r="A527" i="1"/>
  <c r="B527" i="1"/>
  <c r="A528" i="1"/>
  <c r="B528" i="1"/>
  <c r="A529" i="1"/>
  <c r="A530" i="1"/>
  <c r="A531" i="1"/>
  <c r="B531" i="1"/>
  <c r="A532" i="1"/>
  <c r="B532" i="1"/>
  <c r="A533" i="1"/>
  <c r="B533" i="1"/>
  <c r="A534" i="1"/>
  <c r="B534" i="1"/>
  <c r="A535" i="1"/>
  <c r="A536" i="1"/>
  <c r="B536" i="1"/>
  <c r="A537" i="1"/>
  <c r="B537" i="1"/>
  <c r="A538" i="1"/>
  <c r="B538" i="1"/>
  <c r="A539" i="1"/>
  <c r="B539" i="1"/>
  <c r="A540" i="1"/>
  <c r="B540" i="1"/>
  <c r="A541" i="1"/>
  <c r="B541" i="1"/>
  <c r="A542" i="1"/>
  <c r="B542" i="1"/>
  <c r="A543" i="1"/>
  <c r="B543" i="1"/>
  <c r="A544" i="1"/>
  <c r="B544" i="1"/>
  <c r="A545" i="1"/>
  <c r="B545" i="1"/>
  <c r="A546" i="1"/>
  <c r="B546" i="1"/>
  <c r="A547" i="1"/>
  <c r="B547" i="1"/>
  <c r="A548" i="1"/>
  <c r="B548" i="1"/>
  <c r="A549" i="1"/>
  <c r="A550" i="1"/>
  <c r="B550" i="1"/>
  <c r="A551" i="1"/>
  <c r="B551" i="1"/>
  <c r="A552" i="1"/>
  <c r="B552" i="1"/>
  <c r="A553" i="1"/>
  <c r="B553" i="1"/>
  <c r="A554" i="1"/>
  <c r="B554" i="1"/>
  <c r="A555" i="1"/>
  <c r="A556" i="1"/>
  <c r="A557" i="1"/>
  <c r="B557" i="1"/>
  <c r="A558" i="1"/>
  <c r="A559" i="1"/>
  <c r="B559" i="1"/>
  <c r="A560" i="1"/>
  <c r="B560" i="1"/>
  <c r="A561" i="1"/>
  <c r="B561" i="1"/>
  <c r="A562" i="1"/>
  <c r="B562" i="1"/>
  <c r="A563" i="1"/>
  <c r="B563" i="1"/>
  <c r="A564" i="1"/>
  <c r="B564" i="1"/>
  <c r="A565" i="1"/>
  <c r="B565" i="1"/>
  <c r="A566" i="1"/>
  <c r="B566" i="1"/>
  <c r="A567" i="1"/>
  <c r="B567" i="1"/>
  <c r="A568" i="1"/>
  <c r="A569" i="1"/>
  <c r="B569" i="1"/>
  <c r="A570" i="1"/>
  <c r="B570" i="1"/>
  <c r="A571" i="1"/>
  <c r="B571" i="1"/>
  <c r="A572" i="1"/>
  <c r="B572" i="1"/>
  <c r="A573" i="1"/>
  <c r="B573" i="1"/>
  <c r="A574" i="1"/>
  <c r="B574" i="1"/>
  <c r="A575" i="1"/>
  <c r="B575" i="1"/>
  <c r="A576" i="1"/>
  <c r="B576" i="1"/>
  <c r="A577" i="1"/>
  <c r="B577" i="1"/>
  <c r="A578" i="1"/>
  <c r="B578" i="1"/>
  <c r="A579" i="1"/>
  <c r="A580" i="1"/>
  <c r="A581" i="1"/>
  <c r="A582" i="1"/>
  <c r="B582" i="1"/>
  <c r="A583" i="1"/>
  <c r="A584" i="1"/>
  <c r="A585" i="1"/>
  <c r="A586" i="1"/>
  <c r="A587" i="1"/>
  <c r="A588" i="1"/>
  <c r="B588" i="1"/>
  <c r="A589" i="1"/>
  <c r="A590" i="1"/>
  <c r="B590" i="1"/>
  <c r="A591" i="1"/>
  <c r="A592" i="1"/>
  <c r="B592" i="1"/>
  <c r="A593" i="1"/>
  <c r="B593" i="1"/>
  <c r="A594" i="1"/>
  <c r="B594" i="1"/>
  <c r="A595" i="1"/>
  <c r="B595" i="1"/>
  <c r="A596" i="1"/>
  <c r="B596" i="1"/>
  <c r="A597" i="1"/>
  <c r="B597" i="1"/>
  <c r="A598" i="1"/>
  <c r="B598" i="1"/>
  <c r="A599" i="1"/>
  <c r="B599" i="1"/>
  <c r="A600" i="1"/>
  <c r="B600" i="1"/>
  <c r="A601" i="1"/>
  <c r="A602" i="1"/>
  <c r="B602" i="1"/>
  <c r="A603" i="1"/>
  <c r="B603" i="1"/>
  <c r="A604" i="1"/>
  <c r="B604" i="1"/>
  <c r="A605" i="1"/>
  <c r="B605" i="1"/>
  <c r="A606" i="1"/>
  <c r="B606" i="1"/>
  <c r="A607" i="1"/>
  <c r="B607" i="1"/>
  <c r="A608" i="1"/>
  <c r="A609" i="1"/>
  <c r="B609" i="1"/>
  <c r="A610" i="1"/>
  <c r="B610" i="1"/>
  <c r="A611" i="1"/>
  <c r="B611" i="1"/>
  <c r="A612" i="1"/>
  <c r="B612" i="1"/>
  <c r="A613" i="1"/>
  <c r="B613" i="1"/>
  <c r="A614" i="1"/>
  <c r="B614" i="1"/>
  <c r="A615" i="1"/>
  <c r="B615" i="1"/>
  <c r="A616" i="1"/>
  <c r="B616" i="1"/>
  <c r="A617" i="1"/>
  <c r="B617" i="1"/>
  <c r="A618" i="1"/>
  <c r="B618" i="1"/>
  <c r="A619" i="1"/>
  <c r="B619" i="1"/>
  <c r="A620" i="1"/>
  <c r="B620" i="1"/>
  <c r="A621" i="1"/>
  <c r="A622" i="1"/>
  <c r="A623" i="1"/>
  <c r="A624" i="1"/>
  <c r="B624" i="1"/>
  <c r="A625" i="1"/>
  <c r="A626" i="1"/>
  <c r="B626" i="1"/>
  <c r="A627" i="1"/>
  <c r="B627" i="1"/>
  <c r="A628" i="1"/>
  <c r="B628" i="1"/>
  <c r="A629" i="1"/>
  <c r="B629" i="1"/>
  <c r="A630" i="1"/>
  <c r="A631" i="1"/>
  <c r="A632" i="1"/>
  <c r="A633" i="1"/>
  <c r="B633" i="1"/>
  <c r="A634" i="1"/>
  <c r="B634" i="1"/>
  <c r="A635" i="1"/>
  <c r="A636" i="1"/>
  <c r="A637" i="1"/>
  <c r="B637" i="1"/>
  <c r="A638" i="1"/>
  <c r="B638" i="1"/>
  <c r="A639" i="1"/>
  <c r="A640" i="1"/>
  <c r="A641" i="1"/>
  <c r="A642" i="1"/>
  <c r="A643" i="1"/>
  <c r="A644" i="1"/>
  <c r="B644" i="1"/>
  <c r="A645" i="1"/>
  <c r="A646" i="1"/>
  <c r="A647" i="1"/>
  <c r="B647" i="1"/>
  <c r="A648" i="1"/>
  <c r="B648" i="1"/>
  <c r="A649" i="1"/>
  <c r="B649" i="1"/>
  <c r="A650" i="1"/>
  <c r="B650" i="1"/>
  <c r="A651" i="1"/>
  <c r="A652" i="1"/>
  <c r="A653" i="1"/>
  <c r="A654" i="1"/>
  <c r="B654" i="1"/>
  <c r="A655" i="1"/>
  <c r="B655" i="1"/>
  <c r="A656" i="1"/>
  <c r="B656" i="1"/>
  <c r="A657" i="1"/>
  <c r="B657" i="1"/>
  <c r="A658" i="1"/>
  <c r="A659" i="1"/>
  <c r="B659" i="1"/>
  <c r="A660" i="1"/>
  <c r="B660" i="1"/>
  <c r="A661" i="1"/>
  <c r="B661" i="1"/>
  <c r="A662" i="1"/>
  <c r="A663" i="1"/>
  <c r="B663" i="1"/>
  <c r="A664" i="1"/>
  <c r="B664" i="1"/>
  <c r="A665" i="1"/>
  <c r="B665" i="1"/>
  <c r="A666" i="1"/>
  <c r="B666" i="1"/>
  <c r="A667" i="1"/>
  <c r="B667" i="1"/>
  <c r="A668" i="1"/>
  <c r="B668" i="1"/>
  <c r="A669" i="1"/>
  <c r="A670" i="1"/>
  <c r="B670" i="1"/>
  <c r="A671" i="1"/>
  <c r="B671" i="1"/>
  <c r="A672" i="1"/>
  <c r="B672" i="1"/>
  <c r="A673" i="1"/>
  <c r="B673" i="1"/>
  <c r="A674" i="1"/>
  <c r="B674" i="1"/>
  <c r="A675" i="1"/>
  <c r="A676" i="1"/>
  <c r="A677" i="1"/>
  <c r="B677" i="1"/>
  <c r="A678" i="1"/>
  <c r="A679" i="1"/>
  <c r="A680" i="1"/>
  <c r="B680" i="1"/>
  <c r="A681" i="1"/>
  <c r="B681" i="1"/>
  <c r="A682" i="1"/>
  <c r="B682" i="1"/>
  <c r="A683" i="1"/>
  <c r="B683" i="1"/>
  <c r="A684" i="1"/>
  <c r="B684" i="1"/>
  <c r="A685" i="1"/>
  <c r="A686" i="1"/>
  <c r="A687" i="1"/>
  <c r="A688" i="1"/>
  <c r="A689" i="1"/>
  <c r="A690" i="1"/>
  <c r="A691" i="1"/>
  <c r="A692" i="1"/>
  <c r="B692" i="1"/>
  <c r="A693" i="1"/>
  <c r="B693" i="1"/>
  <c r="A694" i="1"/>
  <c r="B694" i="1"/>
  <c r="A695" i="1"/>
  <c r="B695" i="1"/>
  <c r="A696" i="1"/>
  <c r="B696" i="1"/>
  <c r="A697" i="1"/>
  <c r="B697" i="1"/>
  <c r="A698" i="1"/>
  <c r="B698" i="1"/>
  <c r="A699" i="1"/>
  <c r="A700" i="1"/>
  <c r="B700" i="1"/>
  <c r="A701" i="1"/>
  <c r="B701" i="1"/>
  <c r="A702" i="1"/>
  <c r="B702" i="1"/>
  <c r="A703" i="1"/>
  <c r="B703" i="1"/>
  <c r="A704" i="1"/>
  <c r="B704" i="1"/>
  <c r="A705" i="1"/>
  <c r="B705" i="1"/>
  <c r="A706" i="1"/>
  <c r="B706" i="1"/>
  <c r="A707" i="1"/>
  <c r="B707" i="1"/>
  <c r="A708" i="1"/>
  <c r="A709" i="1"/>
  <c r="B709" i="1"/>
  <c r="A710" i="1"/>
  <c r="B710" i="1"/>
  <c r="A711" i="1"/>
  <c r="B711" i="1"/>
  <c r="A712" i="1"/>
  <c r="B712" i="1"/>
  <c r="A713" i="1"/>
  <c r="B713" i="1"/>
  <c r="A714" i="1"/>
  <c r="A715" i="1"/>
  <c r="A716" i="1"/>
  <c r="A717" i="1"/>
  <c r="B717" i="1"/>
  <c r="A718" i="1"/>
  <c r="B718" i="1"/>
  <c r="A719" i="1"/>
  <c r="B719" i="1"/>
  <c r="A720" i="1"/>
  <c r="B720" i="1"/>
  <c r="A721" i="1"/>
  <c r="A722" i="1"/>
  <c r="A723" i="1"/>
  <c r="B723" i="1"/>
  <c r="A724" i="1"/>
  <c r="B724" i="1"/>
  <c r="A725" i="1"/>
  <c r="B725" i="1"/>
  <c r="A726" i="1"/>
  <c r="A727" i="1"/>
  <c r="B727" i="1"/>
  <c r="A728" i="1"/>
  <c r="A729" i="1"/>
  <c r="A730" i="1"/>
  <c r="B730" i="1"/>
  <c r="A731" i="1"/>
  <c r="B731" i="1"/>
  <c r="A732" i="1"/>
  <c r="B732" i="1"/>
  <c r="A733" i="1"/>
  <c r="B733" i="1"/>
  <c r="A734" i="1"/>
  <c r="B734" i="1"/>
  <c r="A735" i="1"/>
  <c r="A736" i="1"/>
  <c r="B736" i="1"/>
  <c r="A737" i="1"/>
  <c r="B737" i="1"/>
  <c r="A738" i="1"/>
  <c r="B738" i="1"/>
  <c r="A739" i="1"/>
  <c r="B739" i="1"/>
  <c r="A740" i="1"/>
  <c r="B740" i="1"/>
  <c r="A741" i="1"/>
  <c r="B741" i="1"/>
  <c r="A742" i="1"/>
  <c r="B742" i="1"/>
  <c r="A743" i="1"/>
  <c r="B743" i="1"/>
  <c r="A744" i="1"/>
  <c r="B744" i="1"/>
  <c r="A745" i="1"/>
  <c r="B745" i="1"/>
  <c r="A746" i="1"/>
  <c r="B746" i="1"/>
  <c r="A747" i="1"/>
  <c r="B747" i="1"/>
  <c r="A748" i="1"/>
  <c r="B748" i="1"/>
  <c r="A749" i="1"/>
  <c r="B749" i="1"/>
  <c r="A750" i="1"/>
  <c r="B750" i="1"/>
  <c r="A751" i="1"/>
  <c r="B751" i="1"/>
  <c r="A752" i="1"/>
  <c r="B752" i="1"/>
  <c r="A753" i="1"/>
  <c r="B753" i="1"/>
  <c r="A754" i="1"/>
  <c r="B754" i="1"/>
  <c r="A755" i="1"/>
  <c r="B755" i="1"/>
  <c r="A756" i="1"/>
  <c r="B756" i="1"/>
  <c r="A757" i="1"/>
  <c r="B757" i="1"/>
  <c r="A758" i="1"/>
  <c r="B758" i="1"/>
  <c r="A759" i="1"/>
  <c r="B759" i="1"/>
  <c r="A760" i="1"/>
  <c r="B760" i="1"/>
  <c r="A761" i="1"/>
  <c r="B761" i="1"/>
  <c r="A762" i="1"/>
  <c r="B762" i="1"/>
  <c r="A763" i="1"/>
  <c r="B763" i="1"/>
  <c r="A764" i="1"/>
  <c r="B764" i="1"/>
  <c r="A765" i="1"/>
  <c r="B765" i="1"/>
  <c r="A766" i="1"/>
  <c r="B766" i="1"/>
  <c r="A767" i="1"/>
  <c r="B767" i="1"/>
  <c r="A768" i="1"/>
  <c r="B768" i="1"/>
  <c r="A769" i="1"/>
  <c r="B769" i="1"/>
  <c r="A770" i="1"/>
  <c r="A771" i="1"/>
  <c r="B771" i="1"/>
  <c r="A772" i="1"/>
  <c r="B772" i="1"/>
  <c r="A773" i="1"/>
  <c r="A774" i="1"/>
  <c r="B774" i="1"/>
  <c r="A775" i="1"/>
  <c r="A776" i="1"/>
  <c r="B776" i="1"/>
  <c r="A777" i="1"/>
  <c r="A778" i="1"/>
  <c r="B778" i="1"/>
  <c r="A779" i="1"/>
  <c r="B779" i="1"/>
  <c r="A780" i="1"/>
  <c r="A781" i="1"/>
  <c r="B781" i="1"/>
  <c r="A782" i="1"/>
  <c r="B782" i="1"/>
  <c r="A783" i="1"/>
  <c r="B783" i="1"/>
  <c r="A784" i="1"/>
  <c r="B784" i="1"/>
  <c r="A785" i="1"/>
  <c r="A786" i="1"/>
  <c r="B786" i="1"/>
  <c r="A787" i="1"/>
  <c r="B787" i="1"/>
  <c r="A788" i="1"/>
  <c r="B788" i="1"/>
  <c r="A789" i="1"/>
  <c r="B789" i="1"/>
  <c r="A790" i="1"/>
  <c r="B790" i="1"/>
  <c r="A791" i="1"/>
  <c r="B791" i="1"/>
  <c r="A792" i="1"/>
  <c r="B792" i="1"/>
  <c r="A793" i="1"/>
  <c r="A794" i="1"/>
  <c r="B794" i="1"/>
  <c r="A795" i="1"/>
  <c r="B795" i="1"/>
  <c r="A796" i="1"/>
  <c r="B796" i="1"/>
  <c r="A797" i="1"/>
  <c r="B797" i="1"/>
  <c r="A798" i="1"/>
  <c r="B798" i="1"/>
  <c r="A799" i="1"/>
  <c r="B799" i="1"/>
  <c r="A800" i="1"/>
  <c r="B800" i="1"/>
  <c r="A801" i="1"/>
  <c r="B801" i="1"/>
  <c r="A802" i="1"/>
  <c r="B802" i="1"/>
  <c r="A803" i="1"/>
  <c r="A804" i="1"/>
  <c r="B804" i="1"/>
  <c r="A805" i="1"/>
  <c r="A806" i="1"/>
  <c r="B806" i="1"/>
  <c r="A807" i="1"/>
  <c r="B807" i="1"/>
  <c r="A808" i="1"/>
  <c r="B808" i="1"/>
  <c r="A809" i="1"/>
  <c r="B809" i="1"/>
  <c r="A810" i="1"/>
  <c r="B810" i="1"/>
  <c r="A811" i="1"/>
  <c r="B811" i="1"/>
  <c r="A812" i="1"/>
  <c r="B812" i="1"/>
  <c r="A813" i="1"/>
  <c r="B813" i="1"/>
  <c r="A814" i="1"/>
  <c r="B814" i="1"/>
  <c r="A815" i="1"/>
  <c r="B815" i="1"/>
  <c r="A816" i="1"/>
  <c r="B816" i="1"/>
  <c r="A817" i="1"/>
  <c r="B817" i="1"/>
  <c r="A818" i="1"/>
  <c r="B818" i="1"/>
  <c r="A819" i="1"/>
  <c r="A820" i="1"/>
  <c r="B820" i="1"/>
  <c r="A821" i="1"/>
  <c r="B821" i="1"/>
  <c r="A822" i="1"/>
  <c r="B822" i="1"/>
  <c r="A823" i="1"/>
  <c r="A824" i="1"/>
  <c r="B824" i="1"/>
  <c r="A825" i="1"/>
  <c r="B825" i="1"/>
  <c r="A826" i="1"/>
  <c r="B826" i="1"/>
  <c r="A827" i="1"/>
  <c r="B827" i="1"/>
  <c r="A828" i="1"/>
  <c r="B828" i="1"/>
  <c r="A829" i="1"/>
  <c r="B829" i="1"/>
  <c r="A830" i="1"/>
  <c r="B830" i="1"/>
  <c r="A831" i="1"/>
  <c r="A832" i="1"/>
  <c r="A833" i="1"/>
  <c r="A834" i="1"/>
  <c r="B834" i="1"/>
  <c r="A835" i="1"/>
  <c r="B835" i="1"/>
  <c r="A836" i="1"/>
  <c r="A837" i="1"/>
  <c r="B837" i="1"/>
  <c r="A838" i="1"/>
  <c r="B838" i="1"/>
  <c r="A839" i="1"/>
  <c r="B839" i="1"/>
  <c r="A840" i="1"/>
  <c r="B840" i="1"/>
  <c r="A841" i="1"/>
  <c r="B841" i="1"/>
  <c r="A842" i="1"/>
  <c r="B842" i="1"/>
  <c r="A843" i="1"/>
  <c r="A844" i="1"/>
  <c r="A845" i="1"/>
  <c r="B845" i="1"/>
  <c r="A846" i="1"/>
  <c r="B846" i="1"/>
  <c r="A847" i="1"/>
  <c r="A848" i="1"/>
  <c r="B848" i="1"/>
  <c r="A849" i="1"/>
  <c r="B849" i="1"/>
  <c r="A850" i="1"/>
  <c r="A851" i="1"/>
  <c r="B851" i="1"/>
  <c r="A852" i="1"/>
  <c r="B852" i="1"/>
  <c r="A853" i="1"/>
  <c r="B853" i="1"/>
  <c r="A854" i="1"/>
  <c r="B854" i="1"/>
  <c r="A855" i="1"/>
  <c r="B855" i="1"/>
  <c r="A856" i="1"/>
  <c r="B856" i="1"/>
  <c r="A857" i="1"/>
  <c r="B857" i="1"/>
  <c r="A858" i="1"/>
  <c r="B858" i="1"/>
  <c r="A859" i="1"/>
  <c r="B859" i="1"/>
  <c r="A860" i="1"/>
  <c r="B860" i="1"/>
  <c r="A861" i="1"/>
  <c r="B861" i="1"/>
  <c r="A862" i="1"/>
  <c r="B862" i="1"/>
  <c r="A863" i="1"/>
  <c r="B863" i="1"/>
  <c r="A864" i="1"/>
  <c r="B864" i="1"/>
  <c r="A865" i="1"/>
  <c r="B865" i="1"/>
  <c r="A866" i="1"/>
  <c r="B866" i="1"/>
  <c r="A867" i="1"/>
  <c r="A868" i="1"/>
  <c r="A869" i="1"/>
  <c r="A870" i="1"/>
  <c r="A871" i="1"/>
  <c r="A872" i="1"/>
  <c r="A873" i="1"/>
  <c r="A874" i="1"/>
  <c r="A875" i="1"/>
  <c r="B875" i="1"/>
  <c r="A876" i="1"/>
  <c r="B876" i="1"/>
  <c r="A877" i="1"/>
  <c r="A878" i="1"/>
  <c r="A879" i="1"/>
  <c r="A880" i="1"/>
  <c r="A881" i="1"/>
  <c r="A882" i="1"/>
  <c r="B882" i="1"/>
  <c r="A883" i="1"/>
  <c r="B883" i="1"/>
  <c r="A884" i="1"/>
  <c r="B884" i="1"/>
  <c r="A885" i="1"/>
  <c r="A886" i="1"/>
  <c r="B886" i="1"/>
  <c r="A887" i="1"/>
  <c r="A888" i="1"/>
  <c r="B888" i="1"/>
  <c r="A889" i="1"/>
  <c r="B889" i="1"/>
  <c r="A890" i="1"/>
  <c r="A891" i="1"/>
  <c r="B891" i="1"/>
  <c r="A892" i="1"/>
  <c r="A893" i="1"/>
  <c r="B893" i="1"/>
  <c r="A894" i="1"/>
  <c r="B894" i="1"/>
  <c r="A895" i="1"/>
  <c r="B895" i="1"/>
  <c r="A896" i="1"/>
  <c r="B896" i="1"/>
  <c r="A897" i="1"/>
  <c r="B897" i="1"/>
  <c r="A898" i="1"/>
  <c r="B898" i="1"/>
  <c r="A899" i="1"/>
  <c r="B899" i="1"/>
  <c r="A900" i="1"/>
  <c r="B900" i="1"/>
  <c r="A901" i="1"/>
  <c r="B901" i="1"/>
  <c r="A902" i="1"/>
  <c r="B902" i="1"/>
  <c r="A903" i="1"/>
  <c r="B903" i="1"/>
  <c r="A904" i="1"/>
  <c r="B904" i="1"/>
  <c r="A905" i="1"/>
  <c r="A906" i="1"/>
  <c r="B906" i="1"/>
  <c r="A907" i="1"/>
  <c r="B907" i="1"/>
  <c r="A908" i="1"/>
  <c r="B908" i="1"/>
  <c r="A909" i="1"/>
  <c r="B909" i="1"/>
  <c r="A910" i="1"/>
  <c r="A911" i="1"/>
  <c r="B911" i="1"/>
  <c r="A912" i="1"/>
  <c r="B912" i="1"/>
  <c r="A913" i="1"/>
  <c r="B913" i="1"/>
  <c r="A914" i="1"/>
  <c r="B914" i="1"/>
  <c r="A915" i="1"/>
  <c r="A916" i="1"/>
  <c r="B916" i="1"/>
  <c r="A917" i="1"/>
  <c r="B917" i="1"/>
  <c r="A918" i="1"/>
  <c r="B918" i="1"/>
  <c r="A919" i="1"/>
  <c r="B919" i="1"/>
  <c r="A920" i="1"/>
  <c r="B920" i="1"/>
  <c r="A921" i="1"/>
  <c r="B921" i="1"/>
  <c r="A922" i="1"/>
  <c r="B922" i="1"/>
  <c r="A923" i="1"/>
  <c r="B923" i="1"/>
  <c r="A924" i="1"/>
  <c r="A925" i="1"/>
  <c r="B925" i="1"/>
  <c r="A926" i="1"/>
  <c r="B926" i="1"/>
  <c r="A927" i="1"/>
  <c r="A928" i="1"/>
  <c r="B928" i="1"/>
  <c r="A929" i="1"/>
  <c r="B929" i="1"/>
  <c r="A930" i="1"/>
  <c r="B930" i="1"/>
  <c r="A931" i="1"/>
  <c r="B931" i="1"/>
  <c r="A932" i="1"/>
  <c r="B932" i="1"/>
  <c r="A933" i="1"/>
  <c r="B933" i="1"/>
  <c r="A934" i="1"/>
  <c r="B934" i="1"/>
  <c r="A935" i="1"/>
  <c r="B935" i="1"/>
  <c r="A936" i="1"/>
  <c r="B936" i="1"/>
  <c r="A937" i="1"/>
  <c r="B937" i="1"/>
  <c r="A938" i="1"/>
  <c r="A939" i="1"/>
  <c r="B939" i="1"/>
  <c r="A940" i="1"/>
  <c r="B940" i="1"/>
  <c r="A941" i="1"/>
  <c r="B941" i="1"/>
  <c r="A942" i="1"/>
  <c r="B942" i="1"/>
  <c r="A943" i="1"/>
  <c r="B943" i="1"/>
  <c r="A944" i="1"/>
  <c r="B944" i="1"/>
  <c r="A945" i="1"/>
  <c r="B945" i="1"/>
  <c r="A946" i="1"/>
  <c r="B946" i="1"/>
  <c r="A947" i="1"/>
  <c r="B947" i="1"/>
  <c r="A948" i="1"/>
  <c r="B948" i="1"/>
  <c r="A949" i="1"/>
  <c r="A950" i="1"/>
  <c r="A951" i="1"/>
  <c r="B951" i="1"/>
  <c r="A952" i="1"/>
  <c r="B952" i="1"/>
  <c r="A953" i="1"/>
  <c r="B953" i="1"/>
  <c r="A954" i="1"/>
  <c r="B954" i="1"/>
  <c r="A955" i="1"/>
  <c r="B955" i="1"/>
  <c r="A956" i="1"/>
  <c r="B956" i="1"/>
  <c r="A957" i="1"/>
  <c r="B957" i="1"/>
  <c r="A958" i="1"/>
  <c r="B958" i="1"/>
  <c r="A959" i="1"/>
  <c r="B959" i="1"/>
  <c r="A960" i="1"/>
  <c r="B960" i="1"/>
  <c r="A961" i="1"/>
  <c r="B961" i="1"/>
  <c r="A962" i="1"/>
  <c r="A963" i="1"/>
  <c r="A964" i="1"/>
  <c r="A965" i="1"/>
  <c r="B965" i="1"/>
  <c r="A966" i="1"/>
  <c r="B966" i="1"/>
  <c r="A967" i="1"/>
  <c r="B967" i="1"/>
  <c r="A968" i="1"/>
  <c r="B968" i="1"/>
  <c r="A969" i="1"/>
  <c r="B969" i="1"/>
  <c r="A970" i="1"/>
  <c r="B970" i="1"/>
  <c r="A971" i="1"/>
  <c r="B971" i="1"/>
  <c r="A972" i="1"/>
  <c r="B972" i="1"/>
  <c r="A973" i="1"/>
  <c r="B973" i="1"/>
  <c r="A974" i="1"/>
  <c r="B974" i="1"/>
  <c r="A975" i="1"/>
  <c r="B975" i="1"/>
  <c r="A976" i="1"/>
  <c r="A977" i="1"/>
  <c r="A978" i="1"/>
  <c r="A979" i="1"/>
  <c r="A980" i="1"/>
  <c r="A981" i="1"/>
  <c r="A982" i="1"/>
  <c r="A983" i="1"/>
  <c r="B983" i="1"/>
  <c r="A984" i="1"/>
  <c r="A985" i="1"/>
  <c r="B985" i="1"/>
  <c r="A986" i="1"/>
  <c r="B986" i="1"/>
  <c r="A987" i="1"/>
  <c r="B987" i="1"/>
  <c r="A988" i="1"/>
  <c r="B988" i="1"/>
  <c r="A989" i="1"/>
  <c r="B989" i="1"/>
  <c r="A990" i="1"/>
  <c r="B990" i="1"/>
  <c r="A991" i="1"/>
  <c r="A992" i="1"/>
  <c r="B992" i="1"/>
  <c r="A993" i="1"/>
  <c r="B993" i="1"/>
  <c r="A994" i="1"/>
  <c r="B994" i="1"/>
  <c r="A995" i="1"/>
  <c r="B995" i="1"/>
  <c r="A996" i="1"/>
  <c r="B996" i="1"/>
  <c r="A997" i="1"/>
  <c r="B997" i="1"/>
  <c r="A998" i="1"/>
  <c r="B998" i="1"/>
  <c r="A999" i="1"/>
  <c r="B999" i="1"/>
  <c r="A1000" i="1"/>
  <c r="B1000" i="1"/>
  <c r="A1001" i="1"/>
  <c r="B1001" i="1"/>
  <c r="A1002" i="1"/>
  <c r="B1002" i="1"/>
  <c r="A1003" i="1"/>
  <c r="B1003" i="1"/>
  <c r="A1004" i="1"/>
  <c r="B1004" i="1"/>
  <c r="A1005" i="1"/>
  <c r="B1005" i="1"/>
  <c r="A1006" i="1"/>
  <c r="B1006" i="1"/>
  <c r="A1007" i="1"/>
  <c r="B1007" i="1"/>
  <c r="A1008" i="1"/>
  <c r="B1008" i="1"/>
  <c r="A1009" i="1"/>
  <c r="B1009" i="1"/>
  <c r="A1010" i="1"/>
  <c r="B1010" i="1"/>
  <c r="A1011" i="1"/>
  <c r="B1011" i="1"/>
  <c r="A1012" i="1"/>
  <c r="B1012" i="1"/>
  <c r="A1013" i="1"/>
  <c r="A1014" i="1"/>
  <c r="A1015" i="1"/>
  <c r="B1015" i="1"/>
  <c r="A1016" i="1"/>
  <c r="B1016" i="1"/>
  <c r="A1017" i="1"/>
  <c r="B1017" i="1"/>
  <c r="A1018" i="1"/>
  <c r="B1018" i="1"/>
  <c r="A1019" i="1"/>
  <c r="B1019" i="1"/>
  <c r="A1020" i="1"/>
  <c r="A1021" i="1"/>
  <c r="B1021" i="1"/>
  <c r="A1022" i="1"/>
  <c r="B1022" i="1"/>
  <c r="A1023" i="1"/>
  <c r="A1024" i="1"/>
  <c r="B1024" i="1"/>
  <c r="A1025" i="1"/>
  <c r="B1025" i="1"/>
  <c r="A1026" i="1"/>
  <c r="B1026" i="1"/>
  <c r="A1027" i="1"/>
  <c r="A1028" i="1"/>
  <c r="A1029" i="1"/>
  <c r="B1029" i="1"/>
  <c r="A1030" i="1"/>
  <c r="B1030" i="1"/>
  <c r="A1031" i="1"/>
  <c r="B1031" i="1"/>
  <c r="A1032" i="1"/>
  <c r="B1032" i="1"/>
  <c r="A1033" i="1"/>
  <c r="B1033" i="1"/>
  <c r="A1034" i="1"/>
  <c r="B1034" i="1"/>
  <c r="A1035" i="1"/>
  <c r="B1035" i="1"/>
  <c r="A1036" i="1"/>
  <c r="B1036" i="1"/>
  <c r="A1037" i="1"/>
  <c r="B1037" i="1"/>
  <c r="A1038" i="1"/>
  <c r="B1038" i="1"/>
  <c r="A1039" i="1"/>
  <c r="B1039" i="1"/>
  <c r="A1040" i="1"/>
  <c r="A1041" i="1"/>
  <c r="A1042" i="1"/>
  <c r="B1042" i="1"/>
  <c r="A1043" i="1"/>
  <c r="B1043" i="1"/>
  <c r="A1044" i="1"/>
  <c r="B1044" i="1"/>
  <c r="A1045" i="1"/>
  <c r="B1045" i="1"/>
  <c r="A1046" i="1"/>
  <c r="B1046" i="1"/>
  <c r="A1047" i="1"/>
  <c r="B1047" i="1"/>
  <c r="A1048" i="1"/>
  <c r="B1048" i="1"/>
  <c r="A1049" i="1"/>
  <c r="B1049" i="1"/>
  <c r="A1050" i="1"/>
  <c r="B1050" i="1"/>
  <c r="A1051" i="1"/>
  <c r="A1052" i="1"/>
  <c r="B1052" i="1"/>
  <c r="A1053" i="1"/>
  <c r="B1053" i="1"/>
  <c r="A1054" i="1"/>
  <c r="B1054" i="1"/>
  <c r="A1055" i="1"/>
  <c r="B1055" i="1"/>
  <c r="A1056" i="1"/>
  <c r="B1056" i="1"/>
  <c r="A1057" i="1"/>
  <c r="B1057" i="1"/>
  <c r="A1058" i="1"/>
  <c r="A1059" i="1"/>
  <c r="B1059" i="1"/>
  <c r="A1060" i="1"/>
  <c r="A1061" i="1"/>
  <c r="A1062" i="1"/>
  <c r="B1062" i="1"/>
  <c r="A1063" i="1"/>
  <c r="B1063" i="1"/>
  <c r="A1064" i="1"/>
  <c r="A1065" i="1"/>
  <c r="A1066" i="1"/>
  <c r="A1067" i="1"/>
  <c r="B1067" i="1"/>
  <c r="A1068" i="1"/>
  <c r="B1068" i="1"/>
  <c r="A1069" i="1"/>
  <c r="B1069" i="1"/>
  <c r="A1070" i="1"/>
  <c r="A1071" i="1"/>
  <c r="A1072" i="1"/>
  <c r="B1072" i="1"/>
  <c r="A1073" i="1"/>
  <c r="B1073" i="1"/>
  <c r="A1074" i="1"/>
  <c r="A1075" i="1"/>
  <c r="A1076" i="1"/>
  <c r="A1077" i="1"/>
  <c r="B1077" i="1"/>
  <c r="A1078" i="1"/>
  <c r="A1079" i="1"/>
  <c r="A1080" i="1"/>
  <c r="B1080" i="1"/>
  <c r="A1081" i="1"/>
  <c r="A1082" i="1"/>
  <c r="B1082" i="1"/>
  <c r="A1083" i="1"/>
  <c r="A1084" i="1"/>
  <c r="A1085" i="1"/>
  <c r="B1085" i="1"/>
  <c r="A1086" i="1"/>
  <c r="B1086" i="1"/>
  <c r="A1087" i="1"/>
  <c r="B1087" i="1"/>
  <c r="A1088" i="1"/>
  <c r="A1089" i="1"/>
  <c r="A1090" i="1"/>
  <c r="B1090" i="1"/>
  <c r="A1091" i="1"/>
  <c r="B1091" i="1"/>
  <c r="A1092" i="1"/>
  <c r="B1092" i="1"/>
  <c r="A1093" i="1"/>
  <c r="B1093" i="1"/>
  <c r="A1094" i="1"/>
  <c r="B1094" i="1"/>
  <c r="A1095" i="1"/>
  <c r="B1095" i="1"/>
  <c r="A1096" i="1"/>
  <c r="A1097" i="1"/>
  <c r="A1098" i="1"/>
  <c r="B1098" i="1"/>
  <c r="A1099" i="1"/>
  <c r="A1100" i="1"/>
  <c r="B1100" i="1"/>
  <c r="A1101" i="1"/>
  <c r="A1102" i="1"/>
  <c r="B1102" i="1"/>
  <c r="A1103" i="1"/>
  <c r="A1104" i="1"/>
  <c r="B1104" i="1"/>
  <c r="A1105" i="1"/>
  <c r="B1105" i="1"/>
  <c r="A1106" i="1"/>
  <c r="B1106" i="1"/>
  <c r="A1107" i="1"/>
  <c r="B1107" i="1"/>
  <c r="A1108" i="1"/>
  <c r="B1108" i="1"/>
  <c r="A1109" i="1"/>
  <c r="B1109" i="1"/>
  <c r="A1110" i="1"/>
  <c r="B1110" i="1"/>
  <c r="A1111" i="1"/>
  <c r="A1112" i="1"/>
  <c r="B1112" i="1"/>
  <c r="A1113" i="1"/>
  <c r="A1114" i="1"/>
  <c r="A1115" i="1"/>
  <c r="B1115" i="1"/>
  <c r="A1116" i="1"/>
  <c r="A1117" i="1"/>
  <c r="A1118" i="1"/>
  <c r="B1118" i="1"/>
  <c r="A1119" i="1"/>
  <c r="A1120" i="1"/>
  <c r="A1121" i="1"/>
  <c r="B1121" i="1"/>
  <c r="A1122" i="1"/>
  <c r="A1123" i="1"/>
  <c r="B1123" i="1"/>
  <c r="A1124" i="1"/>
  <c r="B1124" i="1"/>
  <c r="A1125" i="1"/>
  <c r="B1125" i="1"/>
  <c r="A1126" i="1"/>
  <c r="A1127" i="1"/>
  <c r="A1128" i="1"/>
  <c r="B1128" i="1"/>
  <c r="A1129" i="1"/>
  <c r="B1129" i="1"/>
  <c r="A1130" i="1"/>
  <c r="B1130" i="1"/>
  <c r="A1131" i="1"/>
  <c r="B1131" i="1"/>
  <c r="A1132" i="1"/>
  <c r="B1132" i="1"/>
  <c r="A1133" i="1"/>
  <c r="B1133" i="1"/>
  <c r="A1134" i="1"/>
  <c r="B1134" i="1"/>
  <c r="A1135" i="1"/>
  <c r="B1135" i="1"/>
  <c r="A1136" i="1"/>
  <c r="A1137" i="1"/>
  <c r="B1137" i="1"/>
  <c r="A1138" i="1"/>
  <c r="A1139" i="1"/>
  <c r="B1139" i="1"/>
  <c r="A1140" i="1"/>
  <c r="B1140" i="1"/>
  <c r="A1141" i="1"/>
  <c r="B1141" i="1"/>
  <c r="A1142" i="1"/>
  <c r="B1142" i="1"/>
  <c r="A1143" i="1"/>
  <c r="B1143" i="1"/>
  <c r="A1144" i="1"/>
  <c r="B1144" i="1"/>
  <c r="A1145" i="1"/>
  <c r="B1145" i="1"/>
  <c r="A1146" i="1"/>
  <c r="B1146" i="1"/>
  <c r="A1147" i="1"/>
  <c r="B1147" i="1"/>
  <c r="A1148" i="1"/>
  <c r="B1148" i="1"/>
  <c r="A1149" i="1"/>
  <c r="B1149" i="1"/>
  <c r="A1150" i="1"/>
  <c r="B1150" i="1"/>
  <c r="A1151" i="1"/>
  <c r="A1152" i="1"/>
  <c r="A1153" i="1"/>
  <c r="A1154" i="1"/>
  <c r="A1155" i="1"/>
  <c r="A1156" i="1"/>
  <c r="B1156" i="1"/>
  <c r="A1157" i="1"/>
  <c r="A1158" i="1"/>
  <c r="B1158" i="1"/>
  <c r="A1159" i="1"/>
  <c r="B1159" i="1"/>
  <c r="A1160" i="1"/>
  <c r="B1160" i="1"/>
  <c r="A1161" i="1"/>
  <c r="B1161" i="1"/>
  <c r="A1162" i="1"/>
  <c r="B1162" i="1"/>
  <c r="A1163" i="1"/>
  <c r="B1163" i="1"/>
  <c r="A1164" i="1"/>
  <c r="A1165" i="1"/>
  <c r="B1165" i="1"/>
  <c r="A1166" i="1"/>
  <c r="B1166" i="1"/>
  <c r="A1167" i="1"/>
  <c r="A1168" i="1"/>
  <c r="A1169" i="1"/>
  <c r="A1170" i="1"/>
  <c r="B1170" i="1"/>
  <c r="A1171" i="1"/>
  <c r="A1172" i="1"/>
  <c r="A1173" i="1"/>
  <c r="B1173" i="1"/>
  <c r="A1174" i="1"/>
  <c r="A1175" i="1"/>
  <c r="A1176" i="1"/>
  <c r="B1176" i="1"/>
  <c r="A1177" i="1"/>
  <c r="B1177" i="1"/>
  <c r="A1178" i="1"/>
  <c r="B1178" i="1"/>
  <c r="A1179" i="1"/>
  <c r="B1179" i="1"/>
  <c r="A1180" i="1"/>
  <c r="B1180" i="1"/>
  <c r="A1181" i="1"/>
  <c r="B1181" i="1"/>
  <c r="A1182" i="1"/>
  <c r="A1183" i="1"/>
  <c r="B1183" i="1"/>
  <c r="A1184" i="1"/>
  <c r="A1185" i="1"/>
  <c r="A1186" i="1"/>
  <c r="B1186" i="1"/>
  <c r="A1187" i="1"/>
  <c r="B1187" i="1"/>
  <c r="A1188" i="1"/>
  <c r="B1188" i="1"/>
  <c r="A1189" i="1"/>
  <c r="B1189" i="1"/>
  <c r="A1190" i="1"/>
  <c r="B1190" i="1"/>
  <c r="A1191" i="1"/>
  <c r="B1191" i="1"/>
  <c r="A1192" i="1"/>
  <c r="B1192" i="1"/>
  <c r="A1193" i="1"/>
  <c r="B1193" i="1"/>
  <c r="A1194" i="1"/>
  <c r="B1194" i="1"/>
  <c r="A1195" i="1"/>
  <c r="B1195" i="1"/>
  <c r="A1196" i="1"/>
  <c r="B1196" i="1"/>
  <c r="A1197" i="1"/>
  <c r="B1197" i="1"/>
  <c r="A1198" i="1"/>
  <c r="A1199" i="1"/>
  <c r="B1199" i="1"/>
  <c r="A1200" i="1"/>
  <c r="B1200" i="1"/>
  <c r="A1201" i="1"/>
  <c r="B1201" i="1"/>
  <c r="A1202" i="1"/>
  <c r="B1202" i="1"/>
  <c r="A1203" i="1"/>
  <c r="B1203" i="1"/>
  <c r="A1204" i="1"/>
  <c r="B1204" i="1"/>
  <c r="A1205" i="1"/>
  <c r="A1206" i="1"/>
  <c r="B1206" i="1"/>
  <c r="A1207" i="1"/>
  <c r="B1207" i="1"/>
  <c r="A1208" i="1"/>
  <c r="A1209" i="1"/>
  <c r="B1209" i="1"/>
  <c r="A1210" i="1"/>
  <c r="A1211" i="1"/>
  <c r="A1212" i="1"/>
  <c r="A1213" i="1"/>
  <c r="B1213" i="1"/>
  <c r="A1214" i="1"/>
  <c r="A1215" i="1"/>
  <c r="B1215" i="1"/>
  <c r="A1216" i="1"/>
  <c r="B1216" i="1"/>
  <c r="A1217" i="1"/>
  <c r="B1217" i="1"/>
  <c r="A1218" i="1"/>
  <c r="A1219" i="1"/>
  <c r="B1219" i="1"/>
  <c r="A1220" i="1"/>
  <c r="B1220" i="1"/>
  <c r="A1221" i="1"/>
  <c r="B1221" i="1"/>
  <c r="A1222" i="1"/>
  <c r="B1222" i="1"/>
  <c r="A1223" i="1"/>
  <c r="A1224" i="1"/>
  <c r="B1224" i="1"/>
  <c r="A1225" i="1"/>
  <c r="B1225" i="1"/>
  <c r="A1226" i="1"/>
  <c r="B1226" i="1"/>
  <c r="A1227" i="1"/>
  <c r="B1227" i="1"/>
  <c r="A1228" i="1"/>
  <c r="B1228" i="1"/>
  <c r="A1229" i="1"/>
  <c r="B1229" i="1"/>
  <c r="A1230" i="1"/>
  <c r="B1230" i="1"/>
  <c r="A1231" i="1"/>
  <c r="B1231" i="1"/>
  <c r="A1232" i="1"/>
  <c r="B1232" i="1"/>
  <c r="A1233" i="1"/>
  <c r="B1233" i="1"/>
  <c r="A1234" i="1"/>
  <c r="B1234" i="1"/>
  <c r="A1235" i="1"/>
  <c r="B1235" i="1"/>
  <c r="A1236" i="1"/>
  <c r="A1237" i="1"/>
  <c r="B1237" i="1"/>
  <c r="A1238" i="1"/>
  <c r="B1238" i="1"/>
  <c r="A1239" i="1"/>
  <c r="A1240" i="1"/>
  <c r="B1240" i="1"/>
  <c r="A1241" i="1"/>
  <c r="B1241" i="1"/>
  <c r="A1242" i="1"/>
  <c r="A1243" i="1"/>
  <c r="A1244" i="1"/>
  <c r="A1245" i="1"/>
  <c r="A1246" i="1"/>
  <c r="B1246" i="1"/>
  <c r="A1247" i="1"/>
  <c r="B1247" i="1"/>
  <c r="A1248" i="1"/>
  <c r="B1248" i="1"/>
  <c r="A1249" i="1"/>
  <c r="B1249" i="1"/>
  <c r="A1250" i="1"/>
  <c r="B1250" i="1"/>
  <c r="A1251" i="1"/>
  <c r="B1251" i="1"/>
  <c r="A1252" i="1"/>
  <c r="B1252" i="1"/>
  <c r="A1253" i="1"/>
  <c r="A1254" i="1"/>
  <c r="B1254" i="1"/>
  <c r="A1255" i="1"/>
  <c r="B1255" i="1"/>
  <c r="A1256" i="1"/>
  <c r="A1257" i="1"/>
  <c r="A1258" i="1"/>
  <c r="A1259" i="1"/>
  <c r="B1259" i="1"/>
  <c r="A1260" i="1"/>
  <c r="B1260" i="1"/>
  <c r="A1261" i="1"/>
  <c r="B1261" i="1"/>
  <c r="A1262" i="1"/>
  <c r="A1263" i="1"/>
  <c r="B1263" i="1"/>
  <c r="A1264" i="1"/>
  <c r="B1264" i="1"/>
  <c r="A1265" i="1"/>
  <c r="B1265" i="1"/>
  <c r="A1266" i="1"/>
  <c r="A1267" i="1"/>
  <c r="B1267" i="1"/>
  <c r="A1268" i="1"/>
  <c r="B1268" i="1"/>
  <c r="A1269" i="1"/>
  <c r="B1269" i="1"/>
  <c r="A1270" i="1"/>
  <c r="B1270" i="1"/>
  <c r="A1271" i="1"/>
  <c r="B1271" i="1"/>
  <c r="A1272" i="1"/>
  <c r="A1273" i="1"/>
  <c r="B1273" i="1"/>
  <c r="A1274" i="1"/>
  <c r="B1274" i="1"/>
  <c r="A1275" i="1"/>
  <c r="B1275" i="1"/>
  <c r="A1276" i="1"/>
  <c r="B1276" i="1"/>
  <c r="A1277" i="1"/>
  <c r="B1277" i="1"/>
  <c r="A1278" i="1"/>
  <c r="B1278" i="1"/>
  <c r="A1279" i="1"/>
  <c r="A1280" i="1"/>
  <c r="B1280" i="1"/>
  <c r="A1281" i="1"/>
  <c r="B1281" i="1"/>
  <c r="A1282" i="1"/>
  <c r="B1282" i="1"/>
  <c r="A1283" i="1"/>
  <c r="B1283" i="1"/>
  <c r="A1284" i="1"/>
  <c r="B1284" i="1"/>
  <c r="A1285" i="1"/>
  <c r="B1285" i="1"/>
  <c r="A1286" i="1"/>
  <c r="B1286" i="1"/>
  <c r="A1287" i="1"/>
  <c r="B1287" i="1"/>
  <c r="A1288" i="1"/>
  <c r="B1288" i="1"/>
  <c r="A1289" i="1"/>
  <c r="B1289" i="1"/>
  <c r="A1290" i="1"/>
  <c r="B1290" i="1"/>
  <c r="A1291" i="1"/>
  <c r="B1291" i="1"/>
  <c r="A1292" i="1"/>
  <c r="B1292" i="1"/>
  <c r="A1293" i="1"/>
  <c r="B1293" i="1"/>
  <c r="A1294" i="1"/>
  <c r="B1294" i="1"/>
  <c r="A1295" i="1"/>
  <c r="B1295" i="1"/>
  <c r="A1296" i="1"/>
  <c r="B1296" i="1"/>
  <c r="A1297" i="1"/>
  <c r="B1297" i="1"/>
  <c r="A1298" i="1"/>
  <c r="B1298" i="1"/>
  <c r="A1299" i="1"/>
  <c r="B1299" i="1"/>
  <c r="A1300" i="1"/>
  <c r="B1300" i="1"/>
  <c r="A1301" i="1"/>
  <c r="B1301" i="1"/>
  <c r="A1302" i="1"/>
  <c r="B1302" i="1"/>
  <c r="A1303" i="1"/>
  <c r="B1303" i="1"/>
  <c r="A1304" i="1"/>
  <c r="B1304" i="1"/>
  <c r="A1305" i="1"/>
  <c r="B1305" i="1"/>
  <c r="A1306" i="1"/>
  <c r="B1306" i="1"/>
  <c r="A1307" i="1"/>
  <c r="A1308" i="1"/>
  <c r="B1308" i="1"/>
  <c r="A1309" i="1"/>
  <c r="B1309" i="1"/>
  <c r="A1310" i="1"/>
  <c r="B1310" i="1"/>
  <c r="A1311" i="1"/>
  <c r="A1312" i="1"/>
  <c r="A1313" i="1"/>
  <c r="A1314" i="1"/>
  <c r="A1315" i="1"/>
  <c r="A1316" i="1"/>
  <c r="A1317" i="1"/>
  <c r="A1318" i="1"/>
  <c r="A1319" i="1"/>
  <c r="A1320" i="1"/>
  <c r="B1320" i="1"/>
  <c r="A1321" i="1"/>
  <c r="B1321" i="1"/>
  <c r="A1322" i="1"/>
  <c r="B1322" i="1"/>
  <c r="A1323" i="1"/>
  <c r="B1323" i="1"/>
  <c r="A1324" i="1"/>
  <c r="B1324" i="1"/>
  <c r="A1325" i="1"/>
  <c r="A1326" i="1"/>
  <c r="A1327" i="1"/>
  <c r="A1328" i="1"/>
  <c r="B1328" i="1"/>
  <c r="A1329" i="1"/>
  <c r="B1329" i="1"/>
  <c r="A1330" i="1"/>
  <c r="B1330" i="1"/>
  <c r="A1331" i="1"/>
  <c r="B1331" i="1"/>
  <c r="A1332" i="1"/>
  <c r="B1332" i="1"/>
  <c r="A1333" i="1"/>
  <c r="B1333" i="1"/>
  <c r="A1334" i="1"/>
  <c r="B1334" i="1"/>
  <c r="A1335" i="1"/>
  <c r="A1336" i="1"/>
  <c r="B1336" i="1"/>
  <c r="A1337" i="1"/>
  <c r="B1337" i="1"/>
  <c r="A1338" i="1"/>
  <c r="A1339" i="1"/>
  <c r="B1339" i="1"/>
  <c r="A1340" i="1"/>
  <c r="B1340" i="1"/>
  <c r="A1341" i="1"/>
  <c r="B1341" i="1"/>
  <c r="A1342" i="1"/>
  <c r="B1342" i="1"/>
  <c r="A1343" i="1"/>
  <c r="B1343" i="1"/>
  <c r="A1344" i="1"/>
  <c r="B1344" i="1"/>
  <c r="A1345" i="1"/>
  <c r="B1345" i="1"/>
  <c r="A1346" i="1"/>
  <c r="B1346" i="1"/>
  <c r="A1347" i="1"/>
  <c r="B1347" i="1"/>
  <c r="A1348" i="1"/>
  <c r="A1349" i="1"/>
  <c r="B1349" i="1"/>
  <c r="A1350" i="1"/>
  <c r="B1350" i="1"/>
  <c r="A1351" i="1"/>
  <c r="A1352" i="1"/>
  <c r="B1352" i="1"/>
  <c r="A1353" i="1"/>
  <c r="B1353" i="1"/>
  <c r="A1354" i="1"/>
  <c r="B1354" i="1"/>
  <c r="A1355" i="1"/>
  <c r="B1355" i="1"/>
  <c r="A1356" i="1"/>
  <c r="B1356" i="1"/>
  <c r="A1357" i="1"/>
  <c r="B1357" i="1"/>
  <c r="A1358" i="1"/>
  <c r="B1358" i="1"/>
  <c r="A1359" i="1"/>
  <c r="B1359" i="1"/>
  <c r="A1360" i="1"/>
  <c r="A1361" i="1"/>
  <c r="B1361" i="1"/>
  <c r="A1362" i="1"/>
  <c r="B1362" i="1"/>
  <c r="A1363" i="1"/>
  <c r="B1363" i="1"/>
  <c r="A1364" i="1"/>
  <c r="B1364" i="1"/>
  <c r="A1365" i="1"/>
  <c r="B1365" i="1"/>
  <c r="A1366" i="1"/>
  <c r="B1366" i="1"/>
  <c r="A1367" i="1"/>
  <c r="B1367" i="1"/>
  <c r="A1368" i="1"/>
  <c r="B1368" i="1"/>
  <c r="A1369" i="1"/>
  <c r="A1370" i="1"/>
  <c r="B1370" i="1"/>
  <c r="A1371" i="1"/>
  <c r="B1371" i="1"/>
  <c r="A1372" i="1"/>
  <c r="B1372" i="1"/>
  <c r="A1373" i="1"/>
  <c r="B1373" i="1"/>
  <c r="A1374" i="1"/>
  <c r="B1374" i="1"/>
  <c r="A1375" i="1"/>
  <c r="B1375" i="1"/>
  <c r="A1376" i="1"/>
  <c r="B1376" i="1"/>
  <c r="A1377" i="1"/>
  <c r="B1377" i="1"/>
  <c r="A1378" i="1"/>
  <c r="B1378" i="1"/>
  <c r="A1379" i="1"/>
  <c r="B1379" i="1"/>
  <c r="A1380" i="1"/>
  <c r="B1380" i="1"/>
  <c r="A1381" i="1"/>
  <c r="B1381" i="1"/>
  <c r="A1382" i="1"/>
  <c r="B1382" i="1"/>
  <c r="A1383" i="1"/>
  <c r="A1384" i="1"/>
  <c r="A1385" i="1"/>
  <c r="B1385" i="1"/>
  <c r="A1386" i="1"/>
  <c r="A1387" i="1"/>
  <c r="B1387" i="1"/>
  <c r="A1388" i="1"/>
  <c r="B1388" i="1"/>
  <c r="A1389" i="1"/>
  <c r="B1389" i="1"/>
  <c r="A1390" i="1"/>
  <c r="A1391" i="1"/>
  <c r="B1391" i="1"/>
  <c r="A1392" i="1"/>
  <c r="B1392" i="1"/>
  <c r="A1393" i="1"/>
  <c r="A1394" i="1"/>
  <c r="A1395" i="1"/>
  <c r="A1396" i="1"/>
  <c r="B1396" i="1"/>
  <c r="A1397" i="1"/>
  <c r="B1397" i="1"/>
  <c r="A1398" i="1"/>
  <c r="B1398" i="1"/>
  <c r="A1399" i="1"/>
  <c r="B1399" i="1"/>
  <c r="A1400" i="1"/>
  <c r="B1400" i="1"/>
  <c r="A1401" i="1"/>
  <c r="B1401" i="1"/>
  <c r="A1402" i="1"/>
  <c r="B1402" i="1"/>
  <c r="A1403" i="1"/>
  <c r="B1403" i="1"/>
  <c r="A1404" i="1"/>
  <c r="B1404" i="1"/>
  <c r="A1405" i="1"/>
  <c r="B1405" i="1"/>
  <c r="A1406" i="1"/>
  <c r="B1406" i="1"/>
  <c r="A1407" i="1"/>
  <c r="A1408" i="1"/>
  <c r="B1408" i="1"/>
  <c r="A1409" i="1"/>
  <c r="B1409" i="1"/>
  <c r="A1410" i="1"/>
  <c r="B1410" i="1"/>
  <c r="A1411" i="1"/>
  <c r="B1411" i="1"/>
  <c r="A1412" i="1"/>
  <c r="A1413" i="1"/>
  <c r="B1413" i="1"/>
  <c r="A1414" i="1"/>
  <c r="A1415" i="1"/>
  <c r="B1415" i="1"/>
  <c r="A1416" i="1"/>
  <c r="B1416" i="1"/>
  <c r="A1417" i="1"/>
  <c r="B1417" i="1"/>
  <c r="A1418" i="1"/>
  <c r="B1418" i="1"/>
  <c r="A1419" i="1"/>
  <c r="B1419" i="1"/>
  <c r="A1420" i="1"/>
  <c r="B1420" i="1"/>
  <c r="A1421" i="1"/>
  <c r="A1422" i="1"/>
  <c r="B1422" i="1"/>
  <c r="A1423" i="1"/>
  <c r="A1424" i="1"/>
  <c r="A1425" i="1"/>
  <c r="A1426" i="1"/>
  <c r="B1426" i="1"/>
  <c r="A1427" i="1"/>
  <c r="B1427" i="1"/>
  <c r="A1428" i="1"/>
  <c r="B1428" i="1"/>
  <c r="A1429" i="1"/>
  <c r="B1429" i="1"/>
  <c r="A1430" i="1"/>
  <c r="B1430" i="1"/>
  <c r="A1431" i="1"/>
  <c r="B1431" i="1"/>
  <c r="A1432" i="1"/>
  <c r="B1432" i="1"/>
  <c r="A1433" i="1"/>
  <c r="A1434" i="1"/>
  <c r="B1434" i="1"/>
  <c r="A1435" i="1"/>
  <c r="B1435" i="1"/>
  <c r="A1436" i="1"/>
  <c r="B1436" i="1"/>
  <c r="A1437" i="1"/>
  <c r="B1437" i="1"/>
  <c r="A1438" i="1"/>
  <c r="B1438" i="1"/>
  <c r="A1439" i="1"/>
  <c r="B1439" i="1"/>
  <c r="A1440" i="1"/>
  <c r="B1440" i="1"/>
  <c r="A1441" i="1"/>
  <c r="B1441" i="1"/>
  <c r="A1442" i="1"/>
  <c r="B1442" i="1"/>
  <c r="A1443" i="1"/>
  <c r="B1443" i="1"/>
  <c r="A1444" i="1"/>
  <c r="B1444" i="1"/>
  <c r="A1445" i="1"/>
  <c r="B1445" i="1"/>
  <c r="A1446" i="1"/>
  <c r="B1446" i="1"/>
  <c r="A1447" i="1"/>
  <c r="B1447" i="1"/>
  <c r="A1448" i="1"/>
  <c r="B1448" i="1"/>
  <c r="A1449" i="1"/>
  <c r="B1449" i="1"/>
  <c r="A1450" i="1"/>
  <c r="B1450" i="1"/>
  <c r="A1451" i="1"/>
  <c r="B1451" i="1"/>
  <c r="A1452" i="1"/>
  <c r="B1452" i="1"/>
  <c r="A1453" i="1"/>
  <c r="B1453" i="1"/>
  <c r="A1454" i="1"/>
  <c r="B1454" i="1"/>
  <c r="A1455" i="1"/>
  <c r="B1455" i="1"/>
  <c r="A1456" i="1"/>
  <c r="B1456" i="1"/>
  <c r="A1457" i="1"/>
  <c r="B1457" i="1"/>
  <c r="A1458" i="1"/>
  <c r="B1458" i="1"/>
  <c r="A1459" i="1"/>
  <c r="B1459" i="1"/>
  <c r="A1460" i="1"/>
  <c r="B1460" i="1"/>
  <c r="A1461" i="1"/>
  <c r="B1461" i="1"/>
  <c r="A1462" i="1"/>
  <c r="A1463" i="1"/>
  <c r="B1463" i="1"/>
  <c r="A1464" i="1"/>
  <c r="A1465" i="1"/>
  <c r="B1465" i="1"/>
  <c r="A1466" i="1"/>
  <c r="A1467" i="1"/>
  <c r="A1468" i="1"/>
  <c r="B1468" i="1"/>
  <c r="A1469" i="1"/>
  <c r="B1469" i="1"/>
  <c r="A1470" i="1"/>
  <c r="B1470" i="1"/>
  <c r="A1471" i="1"/>
  <c r="B1471" i="1"/>
  <c r="A1472" i="1"/>
  <c r="B1472" i="1"/>
  <c r="A1473" i="1"/>
  <c r="B1473" i="1"/>
  <c r="A1474" i="1"/>
  <c r="A1475" i="1"/>
  <c r="B1475" i="1"/>
  <c r="A1476" i="1"/>
  <c r="B1476" i="1"/>
  <c r="A1477" i="1"/>
  <c r="B1477" i="1"/>
  <c r="A1478" i="1"/>
  <c r="B1478" i="1"/>
  <c r="A1479" i="1"/>
  <c r="B1479" i="1"/>
  <c r="A1480" i="1"/>
  <c r="B1480" i="1"/>
  <c r="A1481" i="1"/>
  <c r="B1481" i="1"/>
  <c r="A1482" i="1"/>
  <c r="A1483" i="1"/>
  <c r="A1484" i="1"/>
  <c r="B1484" i="1"/>
  <c r="A1485" i="1"/>
  <c r="B1485" i="1"/>
  <c r="A1486" i="1"/>
  <c r="B1486" i="1"/>
  <c r="A1487" i="1"/>
  <c r="A1488" i="1"/>
  <c r="B1488" i="1"/>
  <c r="A1489" i="1"/>
  <c r="B1489" i="1"/>
  <c r="A1490" i="1"/>
  <c r="B1490" i="1"/>
  <c r="A1491" i="1"/>
  <c r="A1492" i="1"/>
  <c r="B1492" i="1"/>
  <c r="A1493" i="1"/>
  <c r="A1494" i="1"/>
  <c r="B1494" i="1"/>
  <c r="A1495" i="1"/>
  <c r="B1495" i="1"/>
  <c r="A1496" i="1"/>
  <c r="B1496" i="1"/>
  <c r="A1497" i="1"/>
  <c r="A1498" i="1"/>
  <c r="B1498" i="1"/>
  <c r="A1499" i="1"/>
  <c r="B1499" i="1"/>
  <c r="A1500" i="1"/>
  <c r="B1500" i="1"/>
  <c r="A1501" i="1"/>
  <c r="B1501" i="1"/>
  <c r="A1502" i="1"/>
  <c r="B1502" i="1"/>
  <c r="A1503" i="1"/>
  <c r="B1503" i="1"/>
  <c r="A1504" i="1"/>
  <c r="B1504" i="1"/>
  <c r="A1505" i="1"/>
  <c r="B1505" i="1"/>
  <c r="A1506" i="1"/>
  <c r="B1506" i="1"/>
  <c r="A1507" i="1"/>
  <c r="B1507" i="1"/>
  <c r="A1508" i="1"/>
  <c r="A1509" i="1"/>
  <c r="B1509" i="1"/>
  <c r="A1510" i="1"/>
  <c r="B1510" i="1"/>
  <c r="A1511" i="1"/>
  <c r="B1511" i="1"/>
  <c r="A1512" i="1"/>
  <c r="B1512" i="1"/>
  <c r="A1513" i="1"/>
  <c r="B1513" i="1"/>
  <c r="A1514" i="1"/>
  <c r="B1514" i="1"/>
  <c r="A1515" i="1"/>
  <c r="B1515" i="1"/>
  <c r="A1516" i="1"/>
  <c r="B1516" i="1"/>
  <c r="A1517" i="1"/>
  <c r="A1518" i="1"/>
  <c r="B1518" i="1"/>
  <c r="A1519" i="1"/>
  <c r="A1520" i="1"/>
  <c r="B1520" i="1"/>
  <c r="A1521" i="1"/>
  <c r="B1521" i="1"/>
  <c r="A1522" i="1"/>
  <c r="B1522" i="1"/>
  <c r="A1523" i="1"/>
  <c r="B1523" i="1"/>
  <c r="A1524" i="1"/>
  <c r="B1524" i="1"/>
  <c r="A1525" i="1"/>
  <c r="B1525" i="1"/>
  <c r="A1526" i="1"/>
  <c r="B1526" i="1"/>
  <c r="A1527" i="1"/>
  <c r="B1527" i="1"/>
  <c r="A1528" i="1"/>
  <c r="A1529" i="1"/>
  <c r="A1530" i="1"/>
  <c r="B1530" i="1"/>
  <c r="A1531" i="1"/>
  <c r="A1532" i="1"/>
  <c r="B1532" i="1"/>
  <c r="A1533" i="1"/>
  <c r="B1533" i="1"/>
  <c r="A1534" i="1"/>
  <c r="B1534" i="1"/>
  <c r="A1535" i="1"/>
  <c r="B1535" i="1"/>
  <c r="A1536" i="1"/>
  <c r="B1536" i="1"/>
  <c r="A1537" i="1"/>
  <c r="B1537" i="1"/>
  <c r="A1538" i="1"/>
  <c r="A1539" i="1"/>
  <c r="B1539" i="1"/>
  <c r="A1540" i="1"/>
  <c r="B1540" i="1"/>
  <c r="A1541" i="1"/>
  <c r="B1541" i="1"/>
  <c r="A1542" i="1"/>
  <c r="B1542" i="1"/>
  <c r="A1543" i="1"/>
  <c r="A1544" i="1"/>
  <c r="A1545" i="1"/>
  <c r="A1546" i="1"/>
  <c r="A1547" i="1"/>
  <c r="A1548" i="1"/>
  <c r="B1548" i="1"/>
  <c r="A1549" i="1"/>
  <c r="B1549" i="1"/>
  <c r="A1550" i="1"/>
  <c r="B1550" i="1"/>
  <c r="A1551" i="1"/>
  <c r="B1551" i="1"/>
  <c r="A1552" i="1"/>
  <c r="B1552" i="1"/>
  <c r="A1553" i="1"/>
  <c r="B1553" i="1"/>
  <c r="A1554" i="1"/>
  <c r="A1555" i="1"/>
  <c r="A1556" i="1"/>
  <c r="B1556" i="1"/>
  <c r="A1557" i="1"/>
  <c r="B1557" i="1"/>
  <c r="A1558" i="1"/>
  <c r="B1558" i="1"/>
  <c r="A1559" i="1"/>
  <c r="B1559" i="1"/>
  <c r="A1560" i="1"/>
  <c r="B1560" i="1"/>
  <c r="A1561" i="1"/>
  <c r="B1561" i="1"/>
  <c r="A1562" i="1"/>
  <c r="A1563" i="1"/>
  <c r="B1563" i="1"/>
  <c r="A1564" i="1"/>
  <c r="B1564" i="1"/>
  <c r="A1565" i="1"/>
  <c r="B1565" i="1"/>
  <c r="A1566" i="1"/>
  <c r="B1566" i="1"/>
  <c r="A1567" i="1"/>
  <c r="B1567" i="1"/>
  <c r="A1568" i="1"/>
  <c r="B1568" i="1"/>
  <c r="A1569" i="1"/>
  <c r="B1569" i="1"/>
  <c r="A1570" i="1"/>
  <c r="B1570" i="1"/>
  <c r="A1571" i="1"/>
  <c r="B1571" i="1"/>
  <c r="A1572" i="1"/>
  <c r="B1572" i="1"/>
  <c r="A1573" i="1"/>
  <c r="B1573" i="1"/>
  <c r="A1574" i="1"/>
  <c r="B1574" i="1"/>
  <c r="A1575" i="1"/>
  <c r="B1575" i="1"/>
  <c r="A1576" i="1"/>
  <c r="B1576" i="1"/>
  <c r="A1577" i="1"/>
  <c r="B1577" i="1"/>
  <c r="A1578" i="1"/>
  <c r="B1578" i="1"/>
  <c r="A1579" i="1"/>
  <c r="B1579" i="1"/>
  <c r="A1580" i="1"/>
  <c r="B1580" i="1"/>
  <c r="A1581" i="1"/>
  <c r="A1582" i="1"/>
  <c r="B1582" i="1"/>
  <c r="A1583" i="1"/>
  <c r="B1583" i="1"/>
  <c r="A1584" i="1"/>
  <c r="B1584" i="1"/>
  <c r="A1585" i="1"/>
  <c r="B1585" i="1"/>
  <c r="A1586" i="1"/>
  <c r="B1586" i="1"/>
  <c r="A1587" i="1"/>
  <c r="B1587" i="1"/>
  <c r="A1588" i="1"/>
  <c r="B1588" i="1"/>
  <c r="A1589" i="1"/>
  <c r="B1589" i="1"/>
  <c r="A1590" i="1"/>
  <c r="A1591" i="1"/>
  <c r="B1591" i="1"/>
  <c r="A1592" i="1"/>
  <c r="A1593" i="1"/>
  <c r="B1593" i="1"/>
  <c r="A1594" i="1"/>
  <c r="B1594" i="1"/>
  <c r="A1595" i="1"/>
  <c r="B1595" i="1"/>
  <c r="A1596" i="1"/>
  <c r="A1597" i="1"/>
  <c r="B1597" i="1"/>
  <c r="A1598" i="1"/>
  <c r="A1599" i="1"/>
  <c r="B1599" i="1"/>
  <c r="A1600" i="1"/>
  <c r="A1601" i="1"/>
  <c r="B1601" i="1"/>
  <c r="A1602" i="1"/>
  <c r="B1602" i="1"/>
  <c r="A1603" i="1"/>
  <c r="B1603" i="1"/>
  <c r="A1604" i="1"/>
  <c r="B1604" i="1"/>
  <c r="A1605" i="1"/>
  <c r="B1605" i="1"/>
  <c r="A1606" i="1"/>
  <c r="B1606" i="1"/>
  <c r="A1607" i="1"/>
  <c r="B1607" i="1"/>
  <c r="A1608" i="1"/>
  <c r="A1609" i="1"/>
  <c r="B1609" i="1"/>
  <c r="A1610" i="1"/>
  <c r="B1610" i="1"/>
  <c r="A1611" i="1"/>
  <c r="B1611" i="1"/>
  <c r="A1612" i="1"/>
  <c r="B1612" i="1"/>
  <c r="A1613" i="1"/>
  <c r="B1613" i="1"/>
  <c r="A1614" i="1"/>
  <c r="B1614" i="1"/>
  <c r="A1615" i="1"/>
  <c r="B1615" i="1"/>
  <c r="A1616" i="1"/>
  <c r="A1617" i="1"/>
  <c r="A1618" i="1"/>
  <c r="B1618" i="1"/>
  <c r="A1619" i="1"/>
  <c r="B1619" i="1"/>
  <c r="A1620" i="1"/>
  <c r="B1620" i="1"/>
  <c r="A1621" i="1"/>
  <c r="A1622" i="1"/>
  <c r="B1622" i="1"/>
  <c r="A1623" i="1"/>
  <c r="B1623" i="1"/>
  <c r="A1624" i="1"/>
  <c r="B1624" i="1"/>
  <c r="A1625" i="1"/>
  <c r="B1625" i="1"/>
  <c r="A1626" i="1"/>
  <c r="B1626" i="1"/>
  <c r="A1627" i="1"/>
  <c r="B1627" i="1"/>
  <c r="A1628" i="1"/>
  <c r="B1628" i="1"/>
  <c r="A1629" i="1"/>
  <c r="B1629" i="1"/>
  <c r="A1630" i="1"/>
  <c r="A1631" i="1"/>
  <c r="B1631" i="1"/>
  <c r="A1632" i="1"/>
  <c r="B1632" i="1"/>
  <c r="A1633" i="1"/>
  <c r="B1633" i="1"/>
  <c r="A1634" i="1"/>
  <c r="B1634" i="1"/>
  <c r="A1635" i="1"/>
  <c r="B1635" i="1"/>
  <c r="A1636" i="1"/>
  <c r="B1636" i="1"/>
  <c r="A1637" i="1"/>
  <c r="B1637" i="1"/>
  <c r="A1638" i="1"/>
  <c r="B1638" i="1"/>
  <c r="A1639" i="1"/>
  <c r="B1639" i="1"/>
  <c r="A1640" i="1"/>
  <c r="B1640" i="1"/>
  <c r="A1641" i="1"/>
  <c r="B1641" i="1"/>
  <c r="A1642" i="1"/>
  <c r="B1642" i="1"/>
  <c r="A1643" i="1"/>
  <c r="B1643" i="1"/>
  <c r="A1644" i="1"/>
  <c r="B1644" i="1"/>
  <c r="A1645" i="1"/>
  <c r="B1645" i="1"/>
  <c r="A1646" i="1"/>
  <c r="B1646" i="1"/>
  <c r="A1647" i="1"/>
  <c r="B1647" i="1"/>
  <c r="A1648" i="1"/>
  <c r="B1648" i="1"/>
  <c r="A1649" i="1"/>
  <c r="B1649" i="1"/>
  <c r="A1650" i="1"/>
  <c r="B1650" i="1"/>
  <c r="A1651" i="1"/>
  <c r="B1651" i="1"/>
  <c r="A1652" i="1"/>
  <c r="B1652" i="1"/>
  <c r="A1653" i="1"/>
  <c r="B1653" i="1"/>
  <c r="A1654" i="1"/>
  <c r="A1655" i="1"/>
  <c r="A1656" i="1"/>
  <c r="A1657" i="1"/>
  <c r="B1657" i="1"/>
  <c r="A1658" i="1"/>
  <c r="B1658" i="1"/>
  <c r="A1659" i="1"/>
  <c r="B1659" i="1"/>
  <c r="A1660" i="1"/>
  <c r="B1660" i="1"/>
  <c r="A1661" i="1"/>
  <c r="B1661" i="1"/>
  <c r="A1662" i="1"/>
  <c r="B1662" i="1"/>
  <c r="A1663" i="1"/>
  <c r="B1663" i="1"/>
  <c r="A1664" i="1"/>
  <c r="B1664" i="1"/>
  <c r="A1665" i="1"/>
  <c r="B1665" i="1"/>
  <c r="A1666" i="1"/>
  <c r="B1666" i="1"/>
  <c r="A1667" i="1"/>
  <c r="B1667" i="1"/>
  <c r="A1668" i="1"/>
  <c r="A1669" i="1"/>
  <c r="B1669" i="1"/>
  <c r="A1670" i="1"/>
  <c r="B1670" i="1"/>
  <c r="A1671" i="1"/>
  <c r="B1671" i="1"/>
  <c r="A1672" i="1"/>
  <c r="B1672" i="1"/>
  <c r="A1673" i="1"/>
  <c r="B1673" i="1"/>
  <c r="A1674" i="1"/>
  <c r="A1675" i="1"/>
  <c r="B1675" i="1"/>
  <c r="A1676" i="1"/>
  <c r="B1676" i="1"/>
  <c r="A1677" i="1"/>
  <c r="A1678" i="1"/>
  <c r="B1678" i="1"/>
  <c r="A1679" i="1"/>
  <c r="A1680" i="1"/>
  <c r="A1681" i="1"/>
  <c r="B1681" i="1"/>
  <c r="A1682" i="1"/>
  <c r="B1682" i="1"/>
  <c r="A1683" i="1"/>
  <c r="B1683" i="1"/>
  <c r="A1684" i="1"/>
  <c r="B1684" i="1"/>
  <c r="A1685" i="1"/>
  <c r="B1685" i="1"/>
  <c r="A1686" i="1"/>
  <c r="B1686" i="1"/>
  <c r="A1687" i="1"/>
  <c r="B1687" i="1"/>
  <c r="A1688" i="1"/>
  <c r="B1688" i="1"/>
  <c r="A1689" i="1"/>
  <c r="B1689" i="1"/>
  <c r="A1690" i="1"/>
  <c r="A1691" i="1"/>
  <c r="B1691" i="1"/>
  <c r="A1692" i="1"/>
  <c r="A1693" i="1"/>
  <c r="A1694" i="1"/>
  <c r="B1694" i="1"/>
  <c r="A1695" i="1"/>
  <c r="B1695" i="1"/>
  <c r="A1696" i="1"/>
  <c r="B1696" i="1"/>
  <c r="A1697" i="1"/>
  <c r="B1697" i="1"/>
  <c r="A1698" i="1"/>
  <c r="B1698" i="1"/>
  <c r="A1699" i="1"/>
  <c r="B1699" i="1"/>
  <c r="A1700" i="1"/>
  <c r="A1701" i="1"/>
  <c r="B1701" i="1"/>
  <c r="A1702" i="1"/>
  <c r="B1702" i="1"/>
  <c r="A1703" i="1"/>
  <c r="A1704" i="1"/>
  <c r="B1704" i="1"/>
  <c r="A1705" i="1"/>
  <c r="B1705" i="1"/>
  <c r="A1706" i="1"/>
  <c r="B1706" i="1"/>
  <c r="A1707" i="1"/>
  <c r="B1707" i="1"/>
  <c r="A1708" i="1"/>
  <c r="B1708" i="1"/>
  <c r="A1709" i="1"/>
  <c r="B1709" i="1"/>
  <c r="A1710" i="1"/>
  <c r="B1710" i="1"/>
  <c r="A1711" i="1"/>
  <c r="B1711" i="1"/>
  <c r="A1712" i="1"/>
  <c r="A1713" i="1"/>
  <c r="A1714" i="1"/>
  <c r="A1715" i="1"/>
  <c r="B1715" i="1"/>
  <c r="A1716" i="1"/>
  <c r="B1716" i="1"/>
  <c r="A1717" i="1"/>
  <c r="B1717" i="1"/>
  <c r="A1718" i="1"/>
  <c r="B1718" i="1"/>
  <c r="A1719" i="1"/>
  <c r="B1719" i="1"/>
  <c r="A1720" i="1"/>
  <c r="B1720" i="1"/>
  <c r="A1721" i="1"/>
  <c r="B1721" i="1"/>
  <c r="A1722" i="1"/>
  <c r="B1722" i="1"/>
  <c r="A1723" i="1"/>
  <c r="B1723" i="1"/>
  <c r="A1724" i="1"/>
  <c r="B1724" i="1"/>
  <c r="A1725" i="1"/>
  <c r="B1725" i="1"/>
  <c r="A1726" i="1"/>
  <c r="B1726" i="1"/>
  <c r="A1727" i="1"/>
  <c r="B1727" i="1"/>
  <c r="A1728" i="1"/>
  <c r="B1728" i="1"/>
  <c r="A1729" i="1"/>
  <c r="A1730" i="1"/>
  <c r="B1730" i="1"/>
  <c r="A1731" i="1"/>
  <c r="B1731" i="1"/>
  <c r="A1732" i="1"/>
  <c r="B1732" i="1"/>
  <c r="A1733" i="1"/>
  <c r="B1733" i="1"/>
  <c r="A1734" i="1"/>
  <c r="B1734" i="1"/>
  <c r="A1735" i="1"/>
  <c r="B1735" i="1"/>
  <c r="A1736" i="1"/>
  <c r="B1736" i="1"/>
  <c r="A1737" i="1"/>
  <c r="B1737" i="1"/>
  <c r="A1738" i="1"/>
  <c r="B1738" i="1"/>
  <c r="A1739" i="1"/>
  <c r="B1739" i="1"/>
  <c r="A1740" i="1"/>
  <c r="B1740" i="1"/>
  <c r="A1741" i="1"/>
  <c r="A1742" i="1"/>
  <c r="B1742" i="1"/>
  <c r="A1743" i="1"/>
  <c r="B1743" i="1"/>
  <c r="A1744" i="1"/>
  <c r="B1744" i="1"/>
  <c r="A1745" i="1"/>
  <c r="B1745" i="1"/>
  <c r="A1746" i="1"/>
  <c r="B1746" i="1"/>
  <c r="A1747" i="1"/>
  <c r="A1748" i="1"/>
  <c r="B1748" i="1"/>
  <c r="A1749" i="1"/>
  <c r="B1749" i="1"/>
  <c r="A1750" i="1"/>
  <c r="B1750" i="1"/>
  <c r="A1751" i="1"/>
  <c r="B1751" i="1"/>
  <c r="A1752" i="1"/>
  <c r="B1752" i="1"/>
  <c r="A1753" i="1"/>
  <c r="A1754" i="1"/>
  <c r="B1754" i="1"/>
  <c r="A1755" i="1"/>
  <c r="B1755" i="1"/>
  <c r="A1756" i="1"/>
  <c r="B1756" i="1"/>
  <c r="A1757" i="1"/>
  <c r="B1757" i="1"/>
  <c r="A1758" i="1"/>
  <c r="B1758" i="1"/>
  <c r="A1759" i="1"/>
  <c r="B1759" i="1"/>
  <c r="A1760" i="1"/>
  <c r="B1760" i="1"/>
  <c r="A1761" i="1"/>
  <c r="B1761" i="1"/>
  <c r="A1762" i="1"/>
  <c r="B1762" i="1"/>
  <c r="A1763" i="1"/>
  <c r="B1763" i="1"/>
  <c r="A1764" i="1"/>
  <c r="B1764" i="1"/>
  <c r="A1765" i="1"/>
  <c r="B1765" i="1"/>
  <c r="A1766" i="1"/>
  <c r="B1766" i="1"/>
  <c r="A1767" i="1"/>
  <c r="B1767" i="1"/>
  <c r="A1768" i="1"/>
  <c r="A1769" i="1"/>
  <c r="B1769" i="1"/>
  <c r="A1770" i="1"/>
  <c r="B1770" i="1"/>
  <c r="A1771" i="1"/>
  <c r="B1771" i="1"/>
  <c r="A1772" i="1"/>
  <c r="B1772" i="1"/>
  <c r="A1773" i="1"/>
  <c r="B1773" i="1"/>
  <c r="A1774" i="1"/>
  <c r="B1774" i="1"/>
  <c r="A1775" i="1"/>
  <c r="B1775" i="1"/>
  <c r="A1776" i="1"/>
  <c r="B1776" i="1"/>
  <c r="A1777" i="1"/>
  <c r="B1777" i="1"/>
  <c r="A1778" i="1"/>
  <c r="B1778" i="1"/>
  <c r="A1779" i="1"/>
  <c r="B1779" i="1"/>
  <c r="A1780" i="1"/>
  <c r="B1780" i="1"/>
  <c r="A1781" i="1"/>
  <c r="B1781" i="1"/>
  <c r="A1782" i="1"/>
  <c r="B1782" i="1"/>
  <c r="A1783" i="1"/>
  <c r="B1783" i="1"/>
  <c r="A1784" i="1"/>
  <c r="B1784" i="1"/>
  <c r="A1785" i="1"/>
  <c r="B1785" i="1"/>
  <c r="A1786" i="1"/>
  <c r="B1786" i="1"/>
  <c r="A1787" i="1"/>
  <c r="B1787" i="1"/>
  <c r="A1788" i="1"/>
  <c r="B1788" i="1"/>
  <c r="A1789" i="1"/>
  <c r="A1790" i="1"/>
  <c r="A1791" i="1"/>
  <c r="A1792" i="1"/>
  <c r="B1792" i="1"/>
  <c r="A1793" i="1"/>
  <c r="B1793" i="1"/>
  <c r="A1794" i="1"/>
  <c r="B1794" i="1"/>
  <c r="A1795" i="1"/>
  <c r="A1796" i="1"/>
  <c r="A1797" i="1"/>
  <c r="A1798" i="1"/>
  <c r="A1799" i="1"/>
  <c r="A1800" i="1"/>
  <c r="B1800" i="1"/>
  <c r="A1801" i="1"/>
  <c r="A1802" i="1"/>
  <c r="B1802" i="1"/>
  <c r="A1803" i="1"/>
  <c r="A1804" i="1"/>
  <c r="A1805" i="1"/>
  <c r="A1806" i="1"/>
  <c r="A1807" i="1"/>
  <c r="A1808" i="1"/>
  <c r="A1809" i="1"/>
  <c r="A1810" i="1"/>
  <c r="B1810" i="1"/>
  <c r="A1811" i="1"/>
  <c r="B1811" i="1"/>
  <c r="A1812" i="1"/>
  <c r="B1812" i="1"/>
  <c r="A1813" i="1"/>
  <c r="B1813" i="1"/>
  <c r="A1814" i="1"/>
  <c r="B1814" i="1"/>
  <c r="A1815" i="1"/>
  <c r="B1815" i="1"/>
  <c r="A1816" i="1"/>
  <c r="B1816" i="1"/>
  <c r="A1817" i="1"/>
  <c r="B1817" i="1"/>
  <c r="A1818" i="1"/>
  <c r="B1818" i="1"/>
  <c r="A1819" i="1"/>
  <c r="A1820" i="1"/>
  <c r="B1820" i="1"/>
  <c r="A1821" i="1"/>
  <c r="B1821" i="1"/>
  <c r="A1822" i="1"/>
  <c r="B1822" i="1"/>
  <c r="A1823" i="1"/>
  <c r="B1823" i="1"/>
  <c r="A1824" i="1"/>
  <c r="A1825" i="1"/>
  <c r="B1825" i="1"/>
  <c r="A1826" i="1"/>
  <c r="B1826" i="1"/>
  <c r="A1827" i="1"/>
  <c r="B1827" i="1"/>
  <c r="A1828" i="1"/>
  <c r="B1828" i="1"/>
  <c r="A1829" i="1"/>
  <c r="B1829" i="1"/>
  <c r="A1830" i="1"/>
  <c r="B1830" i="1"/>
  <c r="A1831" i="1"/>
  <c r="B1831" i="1"/>
  <c r="A1832" i="1"/>
  <c r="A1833" i="1"/>
  <c r="A1834" i="1"/>
  <c r="B1834" i="1"/>
  <c r="A1835" i="1"/>
  <c r="B1835" i="1"/>
  <c r="A1836" i="1"/>
  <c r="B1836" i="1"/>
  <c r="A1837" i="1"/>
  <c r="A1838" i="1"/>
  <c r="A1839" i="1"/>
  <c r="B1839" i="1"/>
  <c r="A1840" i="1"/>
  <c r="A1841" i="1"/>
  <c r="B1841" i="1"/>
  <c r="A1842" i="1"/>
  <c r="B1842" i="1"/>
  <c r="A1843" i="1"/>
  <c r="B1843" i="1"/>
  <c r="A1844" i="1"/>
  <c r="B1844" i="1"/>
  <c r="A1845" i="1"/>
  <c r="B1845" i="1"/>
  <c r="A1846" i="1"/>
  <c r="B1846" i="1"/>
  <c r="A1847" i="1"/>
  <c r="B1847" i="1"/>
  <c r="A1848" i="1"/>
  <c r="B1848" i="1"/>
  <c r="A1849" i="1"/>
  <c r="B1849" i="1"/>
  <c r="A1850" i="1"/>
  <c r="B1850" i="1"/>
  <c r="A1851" i="1"/>
  <c r="B1851" i="1"/>
  <c r="A1852" i="1"/>
  <c r="A1853" i="1"/>
  <c r="B1853" i="1"/>
  <c r="A1854" i="1"/>
  <c r="B1854" i="1"/>
  <c r="A1855" i="1"/>
  <c r="B1855" i="1"/>
  <c r="A1856" i="1"/>
  <c r="A1857" i="1"/>
  <c r="A1858" i="1"/>
  <c r="B1858" i="1"/>
  <c r="A1859" i="1"/>
  <c r="B1859" i="1"/>
  <c r="A1860" i="1"/>
  <c r="B1860" i="1"/>
  <c r="A1861" i="1"/>
  <c r="B1861" i="1"/>
  <c r="A1862" i="1"/>
  <c r="A1863" i="1"/>
  <c r="B1863" i="1"/>
  <c r="A1864" i="1"/>
  <c r="B1864" i="1"/>
  <c r="A1865" i="1"/>
  <c r="A1866" i="1"/>
  <c r="B1866" i="1"/>
  <c r="A1867" i="1"/>
  <c r="B1867" i="1"/>
  <c r="A1868" i="1"/>
  <c r="B1868" i="1"/>
  <c r="A1869" i="1"/>
  <c r="B1869" i="1"/>
  <c r="A1870" i="1"/>
  <c r="B1870" i="1"/>
  <c r="A1871" i="1"/>
  <c r="B1871" i="1"/>
  <c r="A1872" i="1"/>
  <c r="B1872" i="1"/>
  <c r="A1873" i="1"/>
  <c r="B1873" i="1"/>
  <c r="A1874" i="1"/>
  <c r="B1874" i="1"/>
  <c r="A1875" i="1"/>
  <c r="B1875" i="1"/>
  <c r="A1876" i="1"/>
  <c r="B1876" i="1"/>
  <c r="A1877" i="1"/>
  <c r="B1877" i="1"/>
  <c r="A1878" i="1"/>
  <c r="B1878" i="1"/>
  <c r="A1879" i="1"/>
  <c r="B1879" i="1"/>
  <c r="A1880" i="1"/>
  <c r="B1880" i="1"/>
  <c r="A1881" i="1"/>
  <c r="A1882" i="1"/>
  <c r="B1882" i="1"/>
  <c r="A1883" i="1"/>
  <c r="A1884" i="1"/>
  <c r="A1885" i="1"/>
  <c r="A1886" i="1"/>
  <c r="A1887" i="1"/>
  <c r="A1888" i="1"/>
  <c r="A1889" i="1"/>
  <c r="B1889" i="1"/>
  <c r="A1890" i="1"/>
  <c r="B1890" i="1"/>
  <c r="A1891" i="1"/>
  <c r="B1891" i="1"/>
  <c r="A1892" i="1"/>
  <c r="B1892" i="1"/>
  <c r="A1893" i="1"/>
  <c r="B1893" i="1"/>
  <c r="A1894" i="1"/>
  <c r="B1894" i="1"/>
  <c r="A1895" i="1"/>
  <c r="B1895" i="1"/>
  <c r="A1896" i="1"/>
  <c r="B1896" i="1"/>
  <c r="A1897" i="1"/>
  <c r="A1898" i="1"/>
  <c r="B1898" i="1"/>
  <c r="A1899" i="1"/>
  <c r="A1900" i="1"/>
  <c r="B1900" i="1"/>
  <c r="A1901" i="1"/>
  <c r="B1901" i="1"/>
  <c r="A1902" i="1"/>
  <c r="A1903" i="1"/>
  <c r="B1903" i="1"/>
  <c r="A1904" i="1"/>
  <c r="B1904" i="1"/>
  <c r="A1905" i="1"/>
  <c r="B1905" i="1"/>
  <c r="A1906" i="1"/>
  <c r="B1906" i="1"/>
  <c r="A1907" i="1"/>
  <c r="B1907" i="1"/>
  <c r="A1908" i="1"/>
  <c r="A1909" i="1"/>
  <c r="A1910" i="1"/>
  <c r="B1910" i="1"/>
  <c r="A1911" i="1"/>
  <c r="B1911" i="1"/>
  <c r="A1912" i="1"/>
  <c r="B1912" i="1"/>
  <c r="A1913" i="1"/>
  <c r="A1914" i="1"/>
  <c r="B1914" i="1"/>
  <c r="A1915" i="1"/>
  <c r="B1915" i="1"/>
  <c r="A1916" i="1"/>
  <c r="B1916" i="1"/>
  <c r="A1917" i="1"/>
  <c r="A1918" i="1"/>
  <c r="B1918" i="1"/>
  <c r="A1919" i="1"/>
  <c r="B1919" i="1"/>
  <c r="A1920" i="1"/>
  <c r="B1920" i="1"/>
  <c r="A1921" i="1"/>
  <c r="B1921" i="1"/>
  <c r="A1922" i="1"/>
  <c r="B1922" i="1"/>
  <c r="A1923" i="1"/>
  <c r="B1923" i="1"/>
  <c r="A1924" i="1"/>
  <c r="A1925" i="1"/>
  <c r="B1925" i="1"/>
  <c r="A1926" i="1"/>
  <c r="B1926" i="1"/>
  <c r="A1927" i="1"/>
  <c r="B1927" i="1"/>
  <c r="A1928" i="1"/>
  <c r="B1928" i="1"/>
  <c r="A1929" i="1"/>
  <c r="B1929" i="1"/>
  <c r="A1930" i="1"/>
  <c r="B1930" i="1"/>
  <c r="A1931" i="1"/>
  <c r="B1931" i="1"/>
  <c r="A1932" i="1"/>
  <c r="B1932" i="1"/>
  <c r="A1933" i="1"/>
  <c r="B1933" i="1"/>
  <c r="A1934" i="1"/>
  <c r="A1935" i="1"/>
  <c r="B1935" i="1"/>
  <c r="A1936" i="1"/>
  <c r="B1936" i="1"/>
  <c r="A1937" i="1"/>
  <c r="B1937" i="1"/>
  <c r="A1938" i="1"/>
  <c r="B1938" i="1"/>
  <c r="A1939" i="1"/>
  <c r="A1940" i="1"/>
  <c r="B1940" i="1"/>
  <c r="A1941" i="1"/>
  <c r="B1941" i="1"/>
  <c r="A1942" i="1"/>
  <c r="A1943" i="1"/>
  <c r="B1943" i="1"/>
  <c r="A1944" i="1"/>
  <c r="B1944" i="1"/>
  <c r="A1945" i="1"/>
  <c r="B1945" i="1"/>
  <c r="A1946" i="1"/>
  <c r="B1946" i="1"/>
  <c r="A1947" i="1"/>
  <c r="B1947" i="1"/>
  <c r="A1948" i="1"/>
  <c r="A1949" i="1"/>
  <c r="A1950" i="1"/>
  <c r="A1951" i="1"/>
  <c r="A1952" i="1"/>
  <c r="B1952" i="1"/>
  <c r="A1953" i="1"/>
  <c r="A1954" i="1"/>
  <c r="A1955" i="1"/>
  <c r="A1956" i="1"/>
  <c r="A1957" i="1"/>
  <c r="A1958" i="1"/>
  <c r="A1959" i="1"/>
  <c r="A1960" i="1"/>
  <c r="A1961" i="1"/>
  <c r="A1962" i="1"/>
  <c r="A1963" i="1"/>
  <c r="A1964" i="1"/>
  <c r="A1965" i="1"/>
  <c r="B1965" i="1"/>
  <c r="A1966" i="1"/>
  <c r="B1966" i="1"/>
  <c r="A1967" i="1"/>
  <c r="B1967" i="1"/>
  <c r="A1968" i="1"/>
  <c r="B1968" i="1"/>
  <c r="A1969" i="1"/>
  <c r="B1969" i="1"/>
  <c r="A1970" i="1"/>
  <c r="A1971" i="1"/>
  <c r="A1972" i="1"/>
  <c r="A1973" i="1"/>
  <c r="B1973" i="1"/>
  <c r="A1974" i="1"/>
  <c r="B1974" i="1"/>
  <c r="A1975" i="1"/>
  <c r="B1975" i="1"/>
  <c r="A1976" i="1"/>
  <c r="B1976" i="1"/>
  <c r="A1977" i="1"/>
  <c r="A1978" i="1"/>
  <c r="B1978" i="1"/>
  <c r="A1979" i="1"/>
  <c r="B1979" i="1"/>
  <c r="A1980" i="1"/>
  <c r="A1981" i="1"/>
  <c r="A1982" i="1"/>
  <c r="A1983" i="1"/>
  <c r="B1983" i="1"/>
  <c r="A1984" i="1"/>
  <c r="A1985" i="1"/>
  <c r="A1986" i="1"/>
  <c r="B1986" i="1"/>
  <c r="A1987" i="1"/>
  <c r="A1988" i="1"/>
  <c r="B1988" i="1"/>
  <c r="A1989" i="1"/>
  <c r="A1990" i="1"/>
  <c r="A1991" i="1"/>
  <c r="A1992" i="1"/>
  <c r="A1993" i="1"/>
  <c r="B1993" i="1"/>
  <c r="A1994" i="1"/>
  <c r="B1994" i="1"/>
  <c r="A1995" i="1"/>
  <c r="B1995" i="1"/>
  <c r="A1996" i="1"/>
  <c r="B1996" i="1"/>
  <c r="A1997" i="1"/>
  <c r="A1998" i="1"/>
  <c r="A1999" i="1"/>
  <c r="B1999" i="1"/>
  <c r="A2000" i="1"/>
  <c r="B2000" i="1"/>
  <c r="A2001" i="1"/>
  <c r="B2001" i="1"/>
  <c r="A2002" i="1"/>
  <c r="A2003" i="1"/>
  <c r="B2003" i="1"/>
  <c r="A2004" i="1"/>
  <c r="B2004" i="1"/>
  <c r="A2005" i="1"/>
  <c r="A2006" i="1"/>
  <c r="B2006" i="1"/>
  <c r="A2007" i="1"/>
  <c r="B2007" i="1"/>
  <c r="A2008" i="1"/>
  <c r="B2008" i="1"/>
  <c r="A2009" i="1"/>
  <c r="B2009" i="1"/>
  <c r="A2010" i="1"/>
  <c r="A2011" i="1"/>
  <c r="B2011" i="1"/>
  <c r="A2012" i="1"/>
  <c r="B2012" i="1"/>
  <c r="A2013" i="1"/>
  <c r="B2013" i="1"/>
  <c r="A2014" i="1"/>
  <c r="B2014" i="1"/>
  <c r="A2015" i="1"/>
  <c r="B2015" i="1"/>
  <c r="A2016" i="1"/>
  <c r="A2017" i="1"/>
  <c r="B2017" i="1"/>
  <c r="A2018" i="1"/>
  <c r="B2018" i="1"/>
  <c r="A2019" i="1"/>
  <c r="B2019" i="1"/>
  <c r="A2020" i="1"/>
  <c r="B2020" i="1"/>
  <c r="A2021" i="1"/>
  <c r="B2021" i="1"/>
  <c r="A2022" i="1"/>
  <c r="B2022" i="1"/>
  <c r="A2023" i="1"/>
  <c r="B2023" i="1"/>
  <c r="A2024" i="1"/>
  <c r="B2024" i="1"/>
  <c r="A2025" i="1"/>
  <c r="B2025" i="1"/>
  <c r="A2026" i="1"/>
  <c r="B2026" i="1"/>
  <c r="A2027" i="1"/>
  <c r="B2027" i="1"/>
  <c r="A2028" i="1"/>
  <c r="B2028" i="1"/>
  <c r="A2029" i="1"/>
  <c r="B2029" i="1"/>
  <c r="A2030" i="1"/>
  <c r="B2030" i="1"/>
  <c r="A2031" i="1"/>
  <c r="B2031" i="1"/>
  <c r="A2032" i="1"/>
  <c r="B2032" i="1"/>
  <c r="A2033" i="1"/>
  <c r="B2033" i="1"/>
  <c r="A2034" i="1"/>
  <c r="B2034" i="1"/>
  <c r="A2035" i="1"/>
  <c r="B2035" i="1"/>
  <c r="A2036" i="1"/>
  <c r="B2036" i="1"/>
  <c r="A2037" i="1"/>
  <c r="B2037" i="1"/>
  <c r="A2038" i="1"/>
  <c r="B2038" i="1"/>
  <c r="A2039" i="1"/>
  <c r="B2039" i="1"/>
  <c r="A2040" i="1"/>
  <c r="B2040" i="1"/>
  <c r="A2041" i="1"/>
  <c r="B2041" i="1"/>
  <c r="A2042" i="1"/>
  <c r="B2042" i="1"/>
  <c r="A2043" i="1"/>
  <c r="B2043" i="1"/>
  <c r="A2044" i="1"/>
  <c r="B2044" i="1"/>
  <c r="A2045" i="1"/>
  <c r="B2045" i="1"/>
  <c r="A2046" i="1"/>
  <c r="B2046" i="1"/>
  <c r="A2047" i="1"/>
  <c r="B2047" i="1"/>
  <c r="A2048" i="1"/>
  <c r="B2048" i="1"/>
  <c r="A2049" i="1"/>
  <c r="B2049" i="1"/>
  <c r="A2050" i="1"/>
  <c r="A2051" i="1"/>
  <c r="B2051" i="1"/>
  <c r="A2052" i="1"/>
  <c r="A2053" i="1"/>
  <c r="B2053" i="1"/>
  <c r="A2054" i="1"/>
  <c r="B2054" i="1"/>
  <c r="A2055" i="1"/>
  <c r="B2055" i="1"/>
  <c r="A2056" i="1"/>
  <c r="B2056" i="1"/>
  <c r="A2057" i="1"/>
  <c r="B2057" i="1"/>
  <c r="A2058" i="1"/>
  <c r="B2058" i="1"/>
  <c r="A2059" i="1"/>
  <c r="B2059" i="1"/>
  <c r="A2060" i="1"/>
  <c r="A2061" i="1"/>
  <c r="B2061" i="1"/>
  <c r="A2062" i="1"/>
  <c r="B2062" i="1"/>
  <c r="A2063" i="1"/>
  <c r="A2064" i="1"/>
  <c r="B2064" i="1"/>
  <c r="A2065" i="1"/>
  <c r="B2065" i="1"/>
  <c r="A2066" i="1"/>
  <c r="A2067" i="1"/>
  <c r="B2067" i="1"/>
  <c r="A2068" i="1"/>
  <c r="B2068" i="1"/>
  <c r="A2069" i="1"/>
  <c r="B2069" i="1"/>
  <c r="A2070" i="1"/>
  <c r="B2070" i="1"/>
  <c r="A2071" i="1"/>
  <c r="B2071" i="1"/>
  <c r="A2072" i="1"/>
  <c r="B2072" i="1"/>
  <c r="A2073" i="1"/>
  <c r="B2073" i="1"/>
  <c r="A2074" i="1"/>
  <c r="A2075" i="1"/>
  <c r="A2076" i="1"/>
  <c r="B2076" i="1"/>
  <c r="A2077" i="1"/>
  <c r="B2077" i="1"/>
  <c r="A2078" i="1"/>
  <c r="A2079" i="1"/>
  <c r="B2079" i="1"/>
  <c r="A2080" i="1"/>
  <c r="A2081" i="1"/>
  <c r="B2081" i="1"/>
  <c r="A2082" i="1"/>
  <c r="B2082" i="1"/>
  <c r="A2083" i="1"/>
  <c r="A2084" i="1"/>
  <c r="B2084" i="1"/>
  <c r="A2085" i="1"/>
  <c r="A2086" i="1"/>
  <c r="A2087" i="1"/>
  <c r="A2088" i="1"/>
  <c r="A2089" i="1"/>
  <c r="B2089" i="1"/>
  <c r="A2090" i="1"/>
  <c r="A2091" i="1"/>
  <c r="A2092" i="1"/>
  <c r="B2092" i="1"/>
  <c r="A2093" i="1"/>
  <c r="B2093" i="1"/>
  <c r="A2094" i="1"/>
  <c r="B2094" i="1"/>
  <c r="A2095" i="1"/>
  <c r="B2095" i="1"/>
  <c r="A2096" i="1"/>
  <c r="A2097" i="1"/>
  <c r="A2098" i="1"/>
  <c r="B2098" i="1"/>
  <c r="A2099" i="1"/>
  <c r="B2099" i="1"/>
  <c r="A2100" i="1"/>
  <c r="B2100" i="1"/>
  <c r="A2101" i="1"/>
  <c r="A2102" i="1"/>
  <c r="A2103" i="1"/>
  <c r="B2103" i="1"/>
  <c r="A2104" i="1"/>
  <c r="B2104" i="1"/>
  <c r="A2105" i="1"/>
  <c r="B2105" i="1"/>
  <c r="A2106" i="1"/>
  <c r="B2106" i="1"/>
  <c r="A2107" i="1"/>
  <c r="B2107" i="1"/>
  <c r="A2108" i="1"/>
  <c r="B2108" i="1"/>
  <c r="A2109" i="1"/>
  <c r="B2109" i="1"/>
  <c r="A2110" i="1"/>
  <c r="B2110" i="1"/>
  <c r="A2111" i="1"/>
  <c r="B2111" i="1"/>
  <c r="A2112" i="1"/>
  <c r="B2112" i="1"/>
  <c r="A2113" i="1"/>
  <c r="B2113" i="1"/>
  <c r="A2114" i="1"/>
  <c r="B2114" i="1"/>
  <c r="A2115" i="1"/>
  <c r="B2115" i="1"/>
  <c r="A2116" i="1"/>
  <c r="A2117" i="1"/>
  <c r="A2118" i="1"/>
  <c r="B2118" i="1"/>
  <c r="A2119" i="1"/>
  <c r="B2119" i="1"/>
  <c r="A2120" i="1"/>
  <c r="B2120" i="1"/>
  <c r="A2121" i="1"/>
  <c r="A2122" i="1"/>
  <c r="B2122" i="1"/>
  <c r="A2123" i="1"/>
  <c r="B2123" i="1"/>
  <c r="A2124" i="1"/>
  <c r="B2124" i="1"/>
  <c r="A2125" i="1"/>
  <c r="B2125" i="1"/>
  <c r="A2126" i="1"/>
  <c r="B2126" i="1"/>
  <c r="A2127" i="1"/>
  <c r="B2127" i="1"/>
  <c r="A2128" i="1"/>
  <c r="B2128" i="1"/>
  <c r="A2129" i="1"/>
  <c r="B2129" i="1"/>
  <c r="A2130" i="1"/>
  <c r="A2131" i="1"/>
  <c r="B2131" i="1"/>
  <c r="A2132" i="1"/>
  <c r="B2132" i="1"/>
  <c r="A2133" i="1"/>
  <c r="B2133" i="1"/>
  <c r="A2134" i="1"/>
  <c r="B2134" i="1"/>
  <c r="A2135" i="1"/>
  <c r="B2135" i="1"/>
  <c r="A2136" i="1"/>
  <c r="B2136" i="1"/>
  <c r="A2137" i="1"/>
  <c r="B2137" i="1"/>
  <c r="A2138" i="1"/>
  <c r="A2139" i="1"/>
  <c r="B2139" i="1"/>
  <c r="A2140" i="1"/>
  <c r="B2140" i="1"/>
  <c r="A2141" i="1"/>
  <c r="B2141" i="1"/>
  <c r="A2142" i="1"/>
  <c r="B2142" i="1"/>
  <c r="A2143" i="1"/>
  <c r="A2144" i="1"/>
  <c r="A2145" i="1"/>
  <c r="B2145" i="1"/>
  <c r="A2146" i="1"/>
  <c r="A2147" i="1"/>
  <c r="B2147" i="1"/>
  <c r="A2148" i="1"/>
  <c r="B2148" i="1"/>
  <c r="A2149" i="1"/>
  <c r="B2149" i="1"/>
  <c r="A2150" i="1"/>
  <c r="A2151" i="1"/>
  <c r="B2151" i="1"/>
  <c r="A2152" i="1"/>
  <c r="B2152" i="1"/>
  <c r="A2153" i="1"/>
  <c r="B2153" i="1"/>
  <c r="A2154" i="1"/>
  <c r="B2154" i="1"/>
  <c r="A2155" i="1"/>
  <c r="B2155" i="1"/>
  <c r="A2156" i="1"/>
  <c r="B2156" i="1"/>
  <c r="A2157" i="1"/>
  <c r="B2157" i="1"/>
  <c r="A2158" i="1"/>
  <c r="B2158" i="1"/>
  <c r="A2159" i="1"/>
  <c r="A2160" i="1"/>
  <c r="A2161" i="1"/>
  <c r="B2161" i="1"/>
  <c r="A2162" i="1"/>
  <c r="B2162" i="1"/>
  <c r="A2163" i="1"/>
  <c r="B2163" i="1"/>
  <c r="A2164" i="1"/>
  <c r="B2164" i="1"/>
  <c r="A2165" i="1"/>
  <c r="A2166" i="1"/>
  <c r="A2167" i="1"/>
  <c r="B2167" i="1"/>
  <c r="A2168" i="1"/>
  <c r="B2168" i="1"/>
  <c r="A2169" i="1"/>
  <c r="B2169" i="1"/>
  <c r="A2170" i="1"/>
  <c r="B2170" i="1"/>
  <c r="A2171" i="1"/>
  <c r="B2171" i="1"/>
  <c r="A2172" i="1"/>
  <c r="B2172" i="1"/>
  <c r="A2173" i="1"/>
  <c r="B2173" i="1"/>
  <c r="A2174" i="1"/>
  <c r="B2174" i="1"/>
  <c r="A2175" i="1"/>
  <c r="B2175" i="1"/>
  <c r="A2176" i="1"/>
  <c r="A2177" i="1"/>
  <c r="B2177" i="1"/>
  <c r="A2178" i="1"/>
  <c r="B2178" i="1"/>
  <c r="A2179" i="1"/>
  <c r="B2179" i="1"/>
  <c r="A2180" i="1"/>
  <c r="B2180" i="1"/>
  <c r="A2181" i="1"/>
  <c r="B2181" i="1"/>
  <c r="A2182" i="1"/>
  <c r="B2182" i="1"/>
  <c r="A2183" i="1"/>
  <c r="B2183" i="1"/>
  <c r="A2184" i="1"/>
  <c r="B2184" i="1"/>
  <c r="A2185" i="1"/>
  <c r="B2185" i="1"/>
  <c r="A2186" i="1"/>
  <c r="B2186" i="1"/>
  <c r="A2187" i="1"/>
  <c r="B2187" i="1"/>
  <c r="A2188" i="1"/>
  <c r="B2188" i="1"/>
  <c r="A2189" i="1"/>
  <c r="B2189" i="1"/>
  <c r="A2190" i="1"/>
  <c r="B2190" i="1"/>
  <c r="A2191" i="1"/>
  <c r="B2191" i="1"/>
  <c r="A2192" i="1"/>
  <c r="B2192" i="1"/>
  <c r="A2193" i="1"/>
  <c r="B2193" i="1"/>
  <c r="A2194" i="1"/>
  <c r="A2195" i="1"/>
  <c r="A2196" i="1"/>
  <c r="B2196" i="1"/>
  <c r="A2197" i="1"/>
  <c r="B2197" i="1"/>
  <c r="A2198" i="1"/>
  <c r="B2198" i="1"/>
  <c r="A2199" i="1"/>
  <c r="B2199" i="1"/>
  <c r="A2200" i="1"/>
  <c r="B2200" i="1"/>
  <c r="A2201" i="1"/>
  <c r="B2201" i="1"/>
  <c r="A2202" i="1"/>
  <c r="B2202" i="1"/>
  <c r="A2203" i="1"/>
  <c r="B2203" i="1"/>
  <c r="A2204" i="1"/>
  <c r="B2204" i="1"/>
  <c r="A2205" i="1"/>
  <c r="A2206" i="1"/>
  <c r="B2206" i="1"/>
  <c r="A2207" i="1"/>
  <c r="B2207" i="1"/>
  <c r="A2208" i="1"/>
  <c r="A2209" i="1"/>
  <c r="B2209" i="1"/>
  <c r="A2210" i="1"/>
  <c r="A2211" i="1"/>
  <c r="B2211" i="1"/>
  <c r="A2212" i="1"/>
  <c r="A2213" i="1"/>
  <c r="A2214" i="1"/>
  <c r="A2215" i="1"/>
  <c r="A2216" i="1"/>
  <c r="A2217" i="1"/>
  <c r="A2218" i="1"/>
  <c r="B2218" i="1"/>
  <c r="A2219" i="1"/>
  <c r="A2220" i="1"/>
  <c r="A2221" i="1"/>
  <c r="B2221" i="1"/>
  <c r="A2222" i="1"/>
  <c r="B2222" i="1"/>
  <c r="A2223" i="1"/>
  <c r="A2224" i="1"/>
  <c r="B2224" i="1"/>
  <c r="A2225" i="1"/>
  <c r="A2226" i="1"/>
  <c r="B2226" i="1"/>
  <c r="A2227" i="1"/>
  <c r="B2227" i="1"/>
  <c r="A2228" i="1"/>
  <c r="B2228" i="1"/>
  <c r="A2229" i="1"/>
  <c r="B2229" i="1"/>
  <c r="A2230" i="1"/>
  <c r="B2230" i="1"/>
  <c r="A2231" i="1"/>
  <c r="B2231" i="1"/>
  <c r="A2232" i="1"/>
  <c r="B2232" i="1"/>
  <c r="A2233" i="1"/>
  <c r="B2233" i="1"/>
  <c r="A2234" i="1"/>
  <c r="B2234" i="1"/>
  <c r="A2235" i="1"/>
  <c r="B2235" i="1"/>
  <c r="A2236" i="1"/>
  <c r="A2237" i="1"/>
  <c r="A2238" i="1"/>
  <c r="B2238" i="1"/>
  <c r="A2239" i="1"/>
  <c r="A2240" i="1"/>
  <c r="A2241" i="1"/>
  <c r="A2242" i="1"/>
  <c r="A2243" i="1"/>
  <c r="B2243" i="1"/>
  <c r="A2244" i="1"/>
  <c r="A2245" i="1"/>
  <c r="A2246" i="1"/>
  <c r="B2246" i="1"/>
  <c r="A2247" i="1"/>
  <c r="B2247" i="1"/>
  <c r="A2248" i="1"/>
  <c r="B2248" i="1"/>
  <c r="A2249" i="1"/>
  <c r="B2249" i="1"/>
  <c r="A2250" i="1"/>
  <c r="B2250" i="1"/>
  <c r="A2251" i="1"/>
  <c r="B2251" i="1"/>
  <c r="A2252" i="1"/>
  <c r="B2252" i="1"/>
  <c r="A2253" i="1"/>
  <c r="A2254" i="1"/>
  <c r="B2254" i="1"/>
  <c r="A2255" i="1"/>
  <c r="A2256" i="1"/>
  <c r="B2256" i="1"/>
  <c r="A2257" i="1"/>
  <c r="A2258" i="1"/>
  <c r="B2258" i="1"/>
  <c r="A2259" i="1"/>
  <c r="A2260" i="1"/>
  <c r="A2261" i="1"/>
  <c r="A2262" i="1"/>
  <c r="A2263" i="1"/>
  <c r="A2264" i="1"/>
  <c r="A2265" i="1"/>
  <c r="B2265" i="1"/>
  <c r="A2266" i="1"/>
  <c r="B2266" i="1"/>
  <c r="A2267" i="1"/>
  <c r="B2267" i="1"/>
  <c r="A2268" i="1"/>
  <c r="B2268" i="1"/>
  <c r="A2269" i="1"/>
  <c r="B2269" i="1"/>
  <c r="A2270" i="1"/>
  <c r="B2270" i="1"/>
  <c r="A2271" i="1"/>
  <c r="B2271" i="1"/>
  <c r="A2272" i="1"/>
  <c r="A2273" i="1"/>
  <c r="A2274" i="1"/>
  <c r="B2274" i="1"/>
  <c r="A2275" i="1"/>
  <c r="A2276" i="1"/>
  <c r="B2276" i="1"/>
  <c r="A2277" i="1"/>
  <c r="A2278" i="1"/>
  <c r="B2278" i="1"/>
  <c r="A2279" i="1"/>
  <c r="B2279" i="1"/>
  <c r="A2280" i="1"/>
  <c r="B2280" i="1"/>
  <c r="A2281" i="1"/>
  <c r="B2281" i="1"/>
  <c r="A2282" i="1"/>
  <c r="B2282" i="1"/>
  <c r="A2283" i="1"/>
  <c r="A2284" i="1"/>
  <c r="A2285" i="1"/>
  <c r="B2285" i="1"/>
  <c r="A2286" i="1"/>
  <c r="B2286" i="1"/>
  <c r="A2287" i="1"/>
  <c r="B2287" i="1"/>
  <c r="A2288" i="1"/>
  <c r="A2289" i="1"/>
  <c r="B2289" i="1"/>
  <c r="A2290" i="1"/>
  <c r="A2291" i="1"/>
  <c r="A2292" i="1"/>
  <c r="A2293" i="1"/>
  <c r="B2293" i="1"/>
  <c r="A2294" i="1"/>
  <c r="A2295" i="1"/>
  <c r="A2296" i="1"/>
  <c r="A2297" i="1"/>
  <c r="A2298" i="1"/>
  <c r="B2298" i="1"/>
  <c r="A2299" i="1"/>
  <c r="B2299" i="1"/>
  <c r="A2300" i="1"/>
  <c r="B2300" i="1"/>
  <c r="A2301" i="1"/>
  <c r="B2301" i="1"/>
  <c r="A2302" i="1"/>
  <c r="B2302" i="1"/>
  <c r="A2303" i="1"/>
  <c r="B2303" i="1"/>
  <c r="A2304" i="1"/>
  <c r="B2304" i="1"/>
  <c r="A2305" i="1"/>
  <c r="B2305" i="1"/>
  <c r="A2306" i="1"/>
  <c r="B2306" i="1"/>
  <c r="A2307" i="1"/>
  <c r="B2307" i="1"/>
  <c r="A2308" i="1"/>
  <c r="B2308" i="1"/>
  <c r="A2309" i="1"/>
  <c r="B2309" i="1"/>
  <c r="A2310" i="1"/>
  <c r="A2311" i="1"/>
  <c r="B2311" i="1"/>
  <c r="A2312" i="1"/>
  <c r="B2312" i="1"/>
  <c r="A2313" i="1"/>
  <c r="B2313" i="1"/>
  <c r="A2314" i="1"/>
  <c r="A2315" i="1"/>
  <c r="B2315" i="1"/>
  <c r="A2316" i="1"/>
  <c r="B2316" i="1"/>
  <c r="A2317" i="1"/>
  <c r="B2317" i="1"/>
  <c r="A2318" i="1"/>
  <c r="B2318" i="1"/>
  <c r="A2319" i="1"/>
  <c r="B2319" i="1"/>
  <c r="A2320" i="1"/>
  <c r="B2320" i="1"/>
  <c r="A2321" i="1"/>
  <c r="A2322" i="1"/>
  <c r="B2322" i="1"/>
  <c r="A2323" i="1"/>
  <c r="A2324" i="1"/>
  <c r="B2324" i="1"/>
  <c r="A2325" i="1"/>
  <c r="B2325" i="1"/>
  <c r="A2326" i="1"/>
  <c r="B2326" i="1"/>
  <c r="A2327" i="1"/>
  <c r="B2327" i="1"/>
  <c r="A2328" i="1"/>
  <c r="B2328" i="1"/>
  <c r="A2329" i="1"/>
  <c r="A2330" i="1"/>
  <c r="A2331" i="1"/>
  <c r="A2332" i="1"/>
  <c r="B2332" i="1"/>
  <c r="A2333" i="1"/>
  <c r="B2333" i="1"/>
  <c r="A2334" i="1"/>
  <c r="B2334" i="1"/>
  <c r="A2335" i="1"/>
  <c r="B2335" i="1"/>
  <c r="A2336" i="1"/>
  <c r="B2336" i="1"/>
  <c r="A2337" i="1"/>
  <c r="B2337" i="1"/>
  <c r="A2338" i="1"/>
  <c r="B2338" i="1"/>
  <c r="A2339" i="1"/>
  <c r="B2339" i="1"/>
  <c r="A2340" i="1"/>
  <c r="A2341" i="1"/>
  <c r="A2342" i="1"/>
  <c r="B2342" i="1"/>
  <c r="A2343" i="1"/>
  <c r="B2343" i="1"/>
  <c r="A2344" i="1"/>
  <c r="B2344" i="1"/>
  <c r="A2345" i="1"/>
  <c r="B2345" i="1"/>
  <c r="A2346" i="1"/>
  <c r="B2346" i="1"/>
  <c r="A2347" i="1"/>
  <c r="B2347" i="1"/>
  <c r="A2348" i="1"/>
  <c r="B2348" i="1"/>
  <c r="A2349" i="1"/>
  <c r="B2349" i="1"/>
  <c r="A2350" i="1"/>
  <c r="B2350" i="1"/>
  <c r="A2351" i="1"/>
  <c r="B2351" i="1"/>
  <c r="A2352" i="1"/>
  <c r="A2353" i="1"/>
  <c r="B2353" i="1"/>
  <c r="A2354" i="1"/>
  <c r="B2354" i="1"/>
  <c r="A2355" i="1"/>
  <c r="B2355" i="1"/>
  <c r="A2356" i="1"/>
  <c r="B2356" i="1"/>
  <c r="A2357" i="1"/>
  <c r="B2357" i="1"/>
  <c r="A2358" i="1"/>
  <c r="B2358" i="1"/>
  <c r="A2359" i="1"/>
  <c r="A2360" i="1"/>
  <c r="A2361" i="1"/>
  <c r="B2361" i="1"/>
  <c r="A2362" i="1"/>
  <c r="A2363" i="1"/>
  <c r="B2363" i="1"/>
  <c r="A2364" i="1"/>
  <c r="B2364" i="1"/>
  <c r="A2365" i="1"/>
  <c r="B2365" i="1"/>
  <c r="A2366" i="1"/>
  <c r="A2367" i="1"/>
  <c r="A2368" i="1"/>
  <c r="A2369" i="1"/>
  <c r="A2370" i="1"/>
  <c r="A2371" i="1"/>
  <c r="B2371" i="1"/>
  <c r="A2372" i="1"/>
  <c r="B2372" i="1"/>
  <c r="A2373" i="1"/>
  <c r="A2374" i="1"/>
  <c r="B2374" i="1"/>
  <c r="A2375" i="1"/>
  <c r="B2375" i="1"/>
  <c r="A2376" i="1"/>
  <c r="B2376" i="1"/>
  <c r="A2377" i="1"/>
  <c r="B2377" i="1"/>
  <c r="A2378" i="1"/>
  <c r="B2378" i="1"/>
  <c r="A2379" i="1"/>
  <c r="B2379" i="1"/>
  <c r="A2380" i="1"/>
  <c r="B2380" i="1"/>
  <c r="A2381" i="1"/>
  <c r="B2381" i="1"/>
  <c r="A2382" i="1"/>
  <c r="B2382" i="1"/>
  <c r="A2383" i="1"/>
  <c r="B2383" i="1"/>
  <c r="A2384" i="1"/>
  <c r="B2384" i="1"/>
  <c r="A2385" i="1"/>
  <c r="B2385" i="1"/>
  <c r="A2386" i="1"/>
  <c r="A2387" i="1"/>
  <c r="B2387" i="1"/>
  <c r="A2388" i="1"/>
  <c r="B2388" i="1"/>
  <c r="A2389" i="1"/>
  <c r="B2389" i="1"/>
  <c r="A2390" i="1"/>
  <c r="B2390" i="1"/>
  <c r="A2391" i="1"/>
  <c r="B2391" i="1"/>
  <c r="A2392" i="1"/>
  <c r="B2392" i="1"/>
  <c r="A2393" i="1"/>
  <c r="B2393" i="1"/>
  <c r="A2394" i="1"/>
  <c r="B2394" i="1"/>
  <c r="A2395" i="1"/>
  <c r="B2395" i="1"/>
  <c r="A2396" i="1"/>
  <c r="B2396" i="1"/>
  <c r="A2397" i="1"/>
  <c r="B2397" i="1"/>
  <c r="A2398" i="1"/>
  <c r="B2398" i="1"/>
  <c r="A2399" i="1"/>
  <c r="A2400" i="1"/>
  <c r="B2400" i="1"/>
  <c r="A2401" i="1"/>
  <c r="A2402" i="1"/>
  <c r="B2402" i="1"/>
  <c r="A2403" i="1"/>
  <c r="B2403" i="1"/>
  <c r="A2404" i="1"/>
  <c r="B2404" i="1"/>
  <c r="A2405" i="1"/>
  <c r="B2405" i="1"/>
  <c r="A2406" i="1"/>
  <c r="B2406" i="1"/>
  <c r="A2407" i="1"/>
  <c r="A2408" i="1"/>
  <c r="B2408" i="1"/>
  <c r="A2409" i="1"/>
  <c r="B2409" i="1"/>
  <c r="A2410" i="1"/>
  <c r="A2411" i="1"/>
  <c r="B2411" i="1"/>
  <c r="A2412" i="1"/>
  <c r="B2412" i="1"/>
  <c r="A2413" i="1"/>
  <c r="B2413" i="1"/>
  <c r="A2414" i="1"/>
  <c r="B2414" i="1"/>
  <c r="A2415" i="1"/>
  <c r="B2415" i="1"/>
  <c r="A2416" i="1"/>
  <c r="B2416" i="1"/>
  <c r="A2417" i="1"/>
  <c r="B2417" i="1"/>
  <c r="A2418" i="1"/>
  <c r="B2418" i="1"/>
  <c r="A2419" i="1"/>
  <c r="B2419" i="1"/>
  <c r="A2420" i="1"/>
  <c r="B2420" i="1"/>
  <c r="A2421" i="1"/>
  <c r="B2421" i="1"/>
  <c r="A2422" i="1"/>
  <c r="B2422" i="1"/>
  <c r="A2423" i="1"/>
  <c r="B2423" i="1"/>
  <c r="A2424" i="1"/>
  <c r="A2425" i="1"/>
  <c r="A2426" i="1"/>
  <c r="B2426" i="1"/>
  <c r="A2427" i="1"/>
  <c r="A2428" i="1"/>
  <c r="B2428" i="1"/>
  <c r="A2429" i="1"/>
  <c r="B2429" i="1"/>
  <c r="A2430" i="1"/>
  <c r="B2430" i="1"/>
  <c r="A2431" i="1"/>
  <c r="B2431" i="1"/>
  <c r="A2432" i="1"/>
  <c r="B2432" i="1"/>
  <c r="A2433" i="1"/>
  <c r="B2433" i="1"/>
  <c r="A2434" i="1"/>
  <c r="A2435" i="1"/>
  <c r="B2435" i="1"/>
  <c r="A2436" i="1"/>
  <c r="B2436" i="1"/>
  <c r="A2437" i="1"/>
  <c r="B2437" i="1"/>
  <c r="A2438" i="1"/>
  <c r="B2438" i="1"/>
  <c r="A2439" i="1"/>
  <c r="B2439" i="1"/>
  <c r="A2440" i="1"/>
  <c r="B2440" i="1"/>
  <c r="A2441" i="1"/>
  <c r="A2442" i="1"/>
  <c r="B2442" i="1"/>
  <c r="A2443" i="1"/>
  <c r="B2443" i="1"/>
  <c r="A2444" i="1"/>
  <c r="A2445" i="1"/>
  <c r="B2445" i="1"/>
  <c r="A2446" i="1"/>
  <c r="B2446" i="1"/>
  <c r="A2447" i="1"/>
  <c r="B2447" i="1"/>
  <c r="A2448" i="1"/>
  <c r="B2448" i="1"/>
  <c r="A2449" i="1"/>
  <c r="B2449" i="1"/>
  <c r="A2450" i="1"/>
  <c r="B2450" i="1"/>
  <c r="A2451" i="1"/>
  <c r="B2451" i="1"/>
  <c r="A2452" i="1"/>
  <c r="A2453" i="1"/>
  <c r="A2454" i="1"/>
  <c r="A2455" i="1"/>
  <c r="A2456" i="1"/>
  <c r="A2457" i="1"/>
  <c r="A2458" i="1"/>
  <c r="A2459" i="1"/>
  <c r="A2460" i="1"/>
  <c r="B2460" i="1"/>
  <c r="A2461" i="1"/>
  <c r="B2461" i="1"/>
  <c r="A2462" i="1"/>
  <c r="B2462" i="1"/>
  <c r="A2463" i="1"/>
  <c r="B2463" i="1"/>
  <c r="A2464" i="1"/>
  <c r="B2464" i="1"/>
  <c r="A2465" i="1"/>
  <c r="A2466" i="1"/>
  <c r="A2467" i="1"/>
  <c r="B2467" i="1"/>
  <c r="A2468" i="1"/>
  <c r="B2468" i="1"/>
  <c r="A2469" i="1"/>
  <c r="B2469" i="1"/>
  <c r="A2470" i="1"/>
  <c r="B2470" i="1"/>
  <c r="A2471" i="1"/>
  <c r="B2471" i="1"/>
  <c r="A2472" i="1"/>
  <c r="B2472" i="1"/>
  <c r="A2473" i="1"/>
  <c r="B2473" i="1"/>
  <c r="A2474" i="1"/>
  <c r="A2475" i="1"/>
  <c r="B2475" i="1"/>
  <c r="A2476" i="1"/>
  <c r="A2477" i="1"/>
  <c r="B2477" i="1"/>
  <c r="A2478" i="1"/>
  <c r="A2479" i="1"/>
  <c r="A2480" i="1"/>
  <c r="B2480" i="1"/>
  <c r="A2481" i="1"/>
  <c r="B2481" i="1"/>
  <c r="A2482" i="1"/>
  <c r="B2482" i="1"/>
  <c r="A2483" i="1"/>
  <c r="B2483" i="1"/>
  <c r="A2484" i="1"/>
  <c r="B2484" i="1"/>
  <c r="A2485" i="1"/>
  <c r="B2485" i="1"/>
  <c r="A2486" i="1"/>
  <c r="B2486" i="1"/>
  <c r="A2487" i="1"/>
  <c r="A2488" i="1"/>
  <c r="B2488" i="1"/>
  <c r="A2489" i="1"/>
  <c r="B2489" i="1"/>
  <c r="A2490" i="1"/>
  <c r="B2490" i="1"/>
  <c r="A2491" i="1"/>
  <c r="B2491" i="1"/>
  <c r="A2492" i="1"/>
  <c r="B2492" i="1"/>
  <c r="A2493" i="1"/>
  <c r="B2493" i="1"/>
  <c r="A2494" i="1"/>
  <c r="B2494" i="1"/>
  <c r="A2495" i="1"/>
  <c r="B2495" i="1"/>
  <c r="A2496" i="1"/>
  <c r="B2496" i="1"/>
  <c r="A2497" i="1"/>
  <c r="B2497" i="1"/>
  <c r="A2498" i="1"/>
  <c r="B2498" i="1"/>
  <c r="A2499" i="1"/>
  <c r="B2499" i="1"/>
  <c r="A2500" i="1"/>
  <c r="A2501" i="1"/>
  <c r="B2501" i="1"/>
  <c r="A2502" i="1"/>
  <c r="B2502" i="1"/>
  <c r="A2503" i="1"/>
  <c r="A2504" i="1"/>
  <c r="B2504" i="1"/>
  <c r="A2505" i="1"/>
  <c r="B2505" i="1"/>
  <c r="A2506" i="1"/>
  <c r="B2506" i="1"/>
  <c r="A2507" i="1"/>
  <c r="B2507" i="1"/>
  <c r="A2508" i="1"/>
  <c r="A2509" i="1"/>
  <c r="B2509" i="1"/>
  <c r="A2510" i="1"/>
  <c r="B2510" i="1"/>
  <c r="A2511" i="1"/>
  <c r="A2512" i="1"/>
  <c r="B2512" i="1"/>
  <c r="A2513" i="1"/>
  <c r="B2513" i="1"/>
  <c r="A2514" i="1"/>
  <c r="B2514" i="1"/>
  <c r="A2515" i="1"/>
  <c r="B2515" i="1"/>
  <c r="A2516" i="1"/>
  <c r="B2516" i="1"/>
  <c r="A2517" i="1"/>
  <c r="B2517" i="1"/>
  <c r="A2518" i="1"/>
  <c r="B2518" i="1"/>
  <c r="A2519" i="1"/>
  <c r="B2519" i="1"/>
  <c r="A2520" i="1"/>
  <c r="B2520" i="1"/>
  <c r="A2521" i="1"/>
  <c r="B2521" i="1"/>
  <c r="A2522" i="1"/>
  <c r="B2522" i="1"/>
  <c r="A2523" i="1"/>
  <c r="B2523" i="1"/>
  <c r="A2524" i="1"/>
  <c r="B2524" i="1"/>
  <c r="A2525" i="1"/>
  <c r="B2525" i="1"/>
  <c r="A2526" i="1"/>
  <c r="B2526" i="1"/>
  <c r="A2527" i="1"/>
  <c r="B2527" i="1"/>
  <c r="A2528" i="1"/>
  <c r="B2528" i="1"/>
  <c r="A2529" i="1"/>
  <c r="B2529" i="1"/>
  <c r="A2530" i="1"/>
  <c r="B2530" i="1"/>
  <c r="A2531" i="1"/>
  <c r="B2531" i="1"/>
  <c r="A2532" i="1"/>
  <c r="B2532" i="1"/>
  <c r="A2533" i="1"/>
  <c r="B2533" i="1"/>
  <c r="A2534" i="1"/>
  <c r="A2535" i="1"/>
  <c r="B2535" i="1"/>
  <c r="A2536" i="1"/>
  <c r="B2536" i="1"/>
  <c r="A2537" i="1"/>
  <c r="B2537" i="1"/>
  <c r="A2538" i="1"/>
  <c r="A2539" i="1"/>
  <c r="A2540" i="1"/>
  <c r="A2541" i="1"/>
  <c r="B2541" i="1"/>
  <c r="A2542" i="1"/>
  <c r="A2543" i="1"/>
  <c r="B2543" i="1"/>
  <c r="A2544" i="1"/>
  <c r="A2545" i="1"/>
  <c r="B2545" i="1"/>
  <c r="A2546" i="1"/>
  <c r="A2547" i="1"/>
  <c r="B2547" i="1"/>
  <c r="A2548" i="1"/>
  <c r="B2548" i="1"/>
  <c r="A2549" i="1"/>
  <c r="B2549" i="1"/>
  <c r="A2550" i="1"/>
  <c r="B2550" i="1"/>
  <c r="A2551" i="1"/>
  <c r="B2551" i="1"/>
  <c r="A2552" i="1"/>
  <c r="B2552" i="1"/>
  <c r="A2553" i="1"/>
  <c r="A2554" i="1"/>
  <c r="B2554" i="1"/>
  <c r="A2555" i="1"/>
  <c r="B2555" i="1"/>
  <c r="A2556" i="1"/>
  <c r="B2556" i="1"/>
  <c r="A2557" i="1"/>
  <c r="B2557" i="1"/>
  <c r="A2558" i="1"/>
  <c r="A2559" i="1"/>
  <c r="A2560" i="1"/>
  <c r="B2560" i="1"/>
  <c r="A2561" i="1"/>
  <c r="B2561" i="1"/>
  <c r="A2562" i="1"/>
  <c r="B2562" i="1"/>
  <c r="A2563" i="1"/>
  <c r="B2563" i="1"/>
  <c r="A2564" i="1"/>
  <c r="B2564" i="1"/>
  <c r="A2565" i="1"/>
  <c r="B2565" i="1"/>
  <c r="A2566" i="1"/>
  <c r="A2567" i="1"/>
  <c r="B2567" i="1"/>
  <c r="A2568" i="1"/>
  <c r="B2568" i="1"/>
  <c r="A2569" i="1"/>
  <c r="B2569" i="1"/>
  <c r="A2570" i="1"/>
  <c r="B2570" i="1"/>
  <c r="A2571" i="1"/>
  <c r="B2571" i="1"/>
  <c r="A2572" i="1"/>
  <c r="B2572" i="1"/>
  <c r="A2573" i="1"/>
  <c r="B2573" i="1"/>
  <c r="A2574" i="1"/>
  <c r="B2574" i="1"/>
  <c r="A2575" i="1"/>
  <c r="A2576" i="1"/>
  <c r="B2576" i="1"/>
  <c r="A2577" i="1"/>
  <c r="A2578" i="1"/>
  <c r="B2578" i="1"/>
  <c r="A2579" i="1"/>
  <c r="B2579" i="1"/>
  <c r="A2580" i="1"/>
  <c r="B2580" i="1"/>
  <c r="A2581" i="1"/>
  <c r="B2581" i="1"/>
  <c r="A2582" i="1"/>
  <c r="A2583" i="1"/>
  <c r="B2583" i="1"/>
  <c r="A2584" i="1"/>
  <c r="B2584" i="1"/>
  <c r="A2585" i="1"/>
  <c r="B2585" i="1"/>
  <c r="A2586" i="1"/>
  <c r="B2586" i="1"/>
  <c r="A2587" i="1"/>
  <c r="B2587" i="1"/>
  <c r="A2588" i="1"/>
  <c r="A2589" i="1"/>
  <c r="A2590" i="1"/>
  <c r="A2591" i="1"/>
  <c r="B2591" i="1"/>
  <c r="A2592" i="1"/>
  <c r="B2592" i="1"/>
  <c r="A2593" i="1"/>
  <c r="B2593" i="1"/>
  <c r="A2594" i="1"/>
  <c r="B2594" i="1"/>
  <c r="A2595" i="1"/>
  <c r="B2595" i="1"/>
  <c r="A2596" i="1"/>
  <c r="B2596" i="1"/>
  <c r="A2597" i="1"/>
  <c r="B2597" i="1"/>
  <c r="A2598" i="1"/>
  <c r="B2598" i="1"/>
  <c r="A2599" i="1"/>
  <c r="B2599" i="1"/>
  <c r="A2600" i="1"/>
  <c r="B2600" i="1"/>
  <c r="A2601" i="1"/>
  <c r="A2602" i="1"/>
  <c r="B2602" i="1"/>
  <c r="A2603" i="1"/>
  <c r="B2603" i="1"/>
  <c r="A2604" i="1"/>
  <c r="B2604" i="1"/>
  <c r="A2605" i="1"/>
  <c r="B2605" i="1"/>
  <c r="A2606" i="1"/>
  <c r="B2606" i="1"/>
  <c r="A2607" i="1"/>
  <c r="B2607" i="1"/>
  <c r="A2608" i="1"/>
  <c r="B2608" i="1"/>
  <c r="A2609" i="1"/>
  <c r="B2609" i="1"/>
  <c r="A2610" i="1"/>
  <c r="B2610" i="1"/>
  <c r="A2611" i="1"/>
  <c r="B2611" i="1"/>
  <c r="A2612" i="1"/>
  <c r="B2612" i="1"/>
  <c r="A2613" i="1"/>
  <c r="B2613" i="1"/>
  <c r="A2614" i="1"/>
  <c r="A2615" i="1"/>
  <c r="B2615" i="1"/>
  <c r="A2616" i="1"/>
  <c r="A2617" i="1"/>
  <c r="B2617" i="1"/>
  <c r="A2618" i="1"/>
  <c r="B2618" i="1"/>
  <c r="A2619" i="1"/>
  <c r="A2620" i="1"/>
  <c r="B2620" i="1"/>
  <c r="A2621" i="1"/>
  <c r="B2621" i="1"/>
  <c r="A2622" i="1"/>
  <c r="B2622" i="1"/>
  <c r="A2623" i="1"/>
  <c r="B2623" i="1"/>
  <c r="A2624" i="1"/>
  <c r="B2624" i="1"/>
  <c r="A2625" i="1"/>
  <c r="B2625" i="1"/>
  <c r="A2626" i="1"/>
  <c r="B2626" i="1"/>
  <c r="A2627" i="1"/>
  <c r="B2627" i="1"/>
  <c r="A2628" i="1"/>
  <c r="A2629" i="1"/>
  <c r="B2629" i="1"/>
  <c r="A2630" i="1"/>
  <c r="A2631" i="1"/>
  <c r="B2631" i="1"/>
  <c r="A2632" i="1"/>
  <c r="B2632" i="1"/>
  <c r="A2633" i="1"/>
  <c r="B2633" i="1"/>
  <c r="A2634" i="1"/>
  <c r="B2634" i="1"/>
  <c r="A2635" i="1"/>
  <c r="B2635" i="1"/>
  <c r="A2636" i="1"/>
  <c r="B2636" i="1"/>
  <c r="A2637" i="1"/>
  <c r="B2637" i="1"/>
  <c r="A2638" i="1"/>
  <c r="B2638" i="1"/>
  <c r="A2639" i="1"/>
  <c r="B2639" i="1"/>
  <c r="A2640" i="1"/>
  <c r="B2640" i="1"/>
  <c r="A2641" i="1"/>
  <c r="B2641" i="1"/>
  <c r="A2642" i="1"/>
  <c r="B2642" i="1"/>
  <c r="A2643" i="1"/>
  <c r="B2643" i="1"/>
  <c r="A2644" i="1"/>
  <c r="B2644" i="1"/>
  <c r="A2645" i="1"/>
  <c r="B2645" i="1"/>
  <c r="A2646" i="1"/>
  <c r="B2646" i="1"/>
  <c r="A2647" i="1"/>
  <c r="B2647" i="1"/>
  <c r="A2648" i="1"/>
  <c r="B2648" i="1"/>
  <c r="A2649" i="1"/>
  <c r="B2649" i="1"/>
  <c r="A2650" i="1"/>
  <c r="B2650" i="1"/>
  <c r="A2651" i="1"/>
  <c r="B2651" i="1"/>
  <c r="A2652" i="1"/>
  <c r="B2652" i="1"/>
  <c r="A2653" i="1"/>
  <c r="B2653" i="1"/>
  <c r="A2654" i="1"/>
  <c r="B2654" i="1"/>
  <c r="A2655" i="1"/>
  <c r="B2655" i="1"/>
  <c r="A2656" i="1"/>
  <c r="B2656" i="1"/>
  <c r="A2657" i="1"/>
  <c r="B2657" i="1"/>
  <c r="A2658" i="1"/>
  <c r="B2658" i="1"/>
  <c r="A2659" i="1"/>
  <c r="A2660" i="1"/>
  <c r="B2660" i="1"/>
  <c r="A2661" i="1"/>
  <c r="B2661" i="1"/>
  <c r="A2662" i="1"/>
  <c r="B2662" i="1"/>
  <c r="A2663" i="1"/>
  <c r="B2663" i="1"/>
  <c r="A2664" i="1"/>
  <c r="B2664" i="1"/>
  <c r="A2665" i="1"/>
  <c r="B2665" i="1"/>
  <c r="A2666" i="1"/>
  <c r="B2666" i="1"/>
  <c r="A2667" i="1"/>
  <c r="A2668" i="1"/>
  <c r="B2668" i="1"/>
  <c r="A2669" i="1"/>
  <c r="A2670" i="1"/>
  <c r="A2671" i="1"/>
  <c r="A2672" i="1"/>
  <c r="B2672" i="1"/>
  <c r="A2673" i="1"/>
  <c r="B2673" i="1"/>
  <c r="A2674" i="1"/>
  <c r="B2674" i="1"/>
  <c r="A2675" i="1"/>
  <c r="B2675" i="1"/>
  <c r="A2676" i="1"/>
  <c r="A2677" i="1"/>
  <c r="B2677" i="1"/>
  <c r="A2678" i="1"/>
  <c r="B2678" i="1"/>
  <c r="A2679" i="1"/>
  <c r="B2679" i="1"/>
  <c r="A2680" i="1"/>
  <c r="B2680" i="1"/>
  <c r="A2681" i="1"/>
  <c r="B2681" i="1"/>
  <c r="A2682" i="1"/>
  <c r="B2682" i="1"/>
  <c r="A2683" i="1"/>
  <c r="B2683" i="1"/>
  <c r="A2684" i="1"/>
  <c r="A2685" i="1"/>
  <c r="A2686" i="1"/>
  <c r="A2687" i="1"/>
  <c r="B2687" i="1"/>
  <c r="A2688" i="1"/>
  <c r="B2688" i="1"/>
  <c r="A2689" i="1"/>
  <c r="A2690" i="1"/>
  <c r="B2690" i="1"/>
  <c r="A2691" i="1"/>
  <c r="B2691" i="1"/>
  <c r="A2692" i="1"/>
  <c r="B2692" i="1"/>
  <c r="A2693" i="1"/>
  <c r="B2693" i="1"/>
  <c r="A2694" i="1"/>
  <c r="B2694" i="1"/>
  <c r="A2695" i="1"/>
  <c r="B2695" i="1"/>
  <c r="A2696" i="1"/>
  <c r="B2696" i="1"/>
  <c r="A2697" i="1"/>
  <c r="A2698" i="1"/>
  <c r="A2699" i="1"/>
  <c r="A2700" i="1"/>
  <c r="B2700" i="1"/>
  <c r="A2701" i="1"/>
  <c r="B2701" i="1"/>
  <c r="A2702" i="1"/>
  <c r="B2702" i="1"/>
  <c r="A2703" i="1"/>
  <c r="B2703" i="1"/>
  <c r="A2704" i="1"/>
  <c r="B2704" i="1"/>
  <c r="A2705" i="1"/>
  <c r="A2706" i="1"/>
  <c r="B2706" i="1"/>
  <c r="A2707" i="1"/>
  <c r="B2707" i="1"/>
  <c r="A2708" i="1"/>
  <c r="A2709" i="1"/>
  <c r="B2709" i="1"/>
  <c r="A2710" i="1"/>
  <c r="B2710" i="1"/>
  <c r="A2711" i="1"/>
  <c r="B2711" i="1"/>
  <c r="A2712" i="1"/>
  <c r="B2712" i="1"/>
  <c r="A2713" i="1"/>
  <c r="B2713" i="1"/>
  <c r="A2714" i="1"/>
  <c r="B2714" i="1"/>
  <c r="A2715" i="1"/>
  <c r="A2716" i="1"/>
  <c r="B2716" i="1"/>
  <c r="A2717" i="1"/>
  <c r="B2717" i="1"/>
  <c r="A2718" i="1"/>
  <c r="B2718" i="1"/>
  <c r="A2719" i="1"/>
  <c r="B2719" i="1"/>
  <c r="A2720" i="1"/>
  <c r="B2720" i="1"/>
  <c r="A2721" i="1"/>
  <c r="B2721" i="1"/>
  <c r="A2722" i="1"/>
  <c r="B2722" i="1"/>
  <c r="A2723" i="1"/>
  <c r="B2723" i="1"/>
  <c r="A2724" i="1"/>
  <c r="A2725" i="1"/>
  <c r="B2725" i="1"/>
  <c r="A2726" i="1"/>
  <c r="B2726" i="1"/>
  <c r="A2727" i="1"/>
  <c r="A2728" i="1"/>
  <c r="B2728" i="1"/>
  <c r="A2729" i="1"/>
  <c r="B2729" i="1"/>
  <c r="A2730" i="1"/>
  <c r="B2730" i="1"/>
  <c r="A2731" i="1"/>
  <c r="B2731" i="1"/>
  <c r="A2732" i="1"/>
  <c r="B2732" i="1"/>
  <c r="A2733" i="1"/>
  <c r="B2733" i="1"/>
  <c r="A2734" i="1"/>
  <c r="A2735" i="1"/>
  <c r="B2735" i="1"/>
  <c r="A2736" i="1"/>
  <c r="B2736" i="1"/>
  <c r="A2737" i="1"/>
  <c r="B2737" i="1"/>
  <c r="A2738" i="1"/>
  <c r="B2738" i="1"/>
  <c r="A2739" i="1"/>
  <c r="B2739" i="1"/>
  <c r="A2740" i="1"/>
  <c r="B2740" i="1"/>
  <c r="A2741" i="1"/>
  <c r="B2741" i="1"/>
  <c r="A2742" i="1"/>
  <c r="B2742" i="1"/>
  <c r="A2743" i="1"/>
  <c r="B2743" i="1"/>
  <c r="A2744" i="1"/>
  <c r="B2744" i="1"/>
  <c r="A2745" i="1"/>
  <c r="B2745" i="1"/>
  <c r="A2746" i="1"/>
  <c r="B2746" i="1"/>
  <c r="A2747" i="1"/>
  <c r="B2747" i="1"/>
  <c r="A2748" i="1"/>
  <c r="B2748" i="1"/>
  <c r="A2749" i="1"/>
  <c r="B2749" i="1"/>
  <c r="A2750" i="1"/>
  <c r="B2750" i="1"/>
  <c r="A2751" i="1"/>
  <c r="A2752" i="1"/>
  <c r="A2753" i="1"/>
  <c r="A2754" i="1"/>
  <c r="A2755" i="1"/>
  <c r="A2756" i="1"/>
  <c r="A2757" i="1"/>
  <c r="B2757" i="1"/>
  <c r="A2758" i="1"/>
  <c r="A2759" i="1"/>
  <c r="A2760" i="1"/>
  <c r="A2761" i="1"/>
  <c r="A2762" i="1"/>
  <c r="A2763" i="1"/>
  <c r="B2763" i="1"/>
  <c r="A2764" i="1"/>
  <c r="B2764" i="1"/>
  <c r="A2765" i="1"/>
  <c r="A2766" i="1"/>
  <c r="B2766" i="1"/>
  <c r="A2767" i="1"/>
  <c r="B2767" i="1"/>
  <c r="A2768" i="1"/>
  <c r="A2769" i="1"/>
  <c r="B2769" i="1"/>
  <c r="A2770" i="1"/>
  <c r="A2771" i="1"/>
  <c r="B2771" i="1"/>
  <c r="A2772" i="1"/>
  <c r="B2772" i="1"/>
  <c r="A2773" i="1"/>
  <c r="A2774" i="1"/>
  <c r="B2774" i="1"/>
  <c r="A2775" i="1"/>
  <c r="B2775" i="1"/>
  <c r="A2776" i="1"/>
  <c r="B2776" i="1"/>
  <c r="A2777" i="1"/>
  <c r="A2778" i="1"/>
  <c r="B2778" i="1"/>
  <c r="A2779" i="1"/>
  <c r="B2779" i="1"/>
  <c r="A2780" i="1"/>
  <c r="B2780" i="1"/>
  <c r="A2781" i="1"/>
  <c r="B2781" i="1"/>
  <c r="A2782" i="1"/>
  <c r="B2782" i="1"/>
  <c r="A2783" i="1"/>
  <c r="B2783" i="1"/>
  <c r="A2784" i="1"/>
  <c r="B2784" i="1"/>
  <c r="A2785" i="1"/>
  <c r="B2785" i="1"/>
  <c r="A2786" i="1"/>
  <c r="B2786" i="1"/>
  <c r="A2787" i="1"/>
  <c r="B2787" i="1"/>
  <c r="A2788" i="1"/>
  <c r="B2788" i="1"/>
  <c r="A2789" i="1"/>
  <c r="B2789" i="1"/>
  <c r="A2790" i="1"/>
  <c r="B2790" i="1"/>
  <c r="A2791" i="1"/>
  <c r="B2791" i="1"/>
  <c r="A2792" i="1"/>
  <c r="B2792" i="1"/>
  <c r="A2793" i="1"/>
  <c r="B2793" i="1"/>
  <c r="A2794" i="1"/>
  <c r="B2794" i="1"/>
  <c r="A2795" i="1"/>
  <c r="B2795" i="1"/>
  <c r="A2796" i="1"/>
  <c r="B2796" i="1"/>
  <c r="A2797" i="1"/>
  <c r="B2797" i="1"/>
  <c r="A2798" i="1"/>
  <c r="B2798" i="1"/>
  <c r="A2799" i="1"/>
  <c r="B2799" i="1"/>
  <c r="A2800" i="1"/>
  <c r="B2800" i="1"/>
  <c r="A2801" i="1"/>
  <c r="B2801" i="1"/>
  <c r="A2802" i="1"/>
  <c r="B2802" i="1"/>
  <c r="A2803" i="1"/>
  <c r="B2803" i="1"/>
  <c r="A2804" i="1"/>
  <c r="B2804" i="1"/>
  <c r="A2805" i="1"/>
  <c r="B2805" i="1"/>
  <c r="A2806" i="1"/>
  <c r="B2806" i="1"/>
  <c r="A2807" i="1"/>
  <c r="B2807" i="1"/>
  <c r="A2808" i="1"/>
  <c r="B2808" i="1"/>
  <c r="A2809" i="1"/>
  <c r="B2809" i="1"/>
  <c r="A2810" i="1"/>
  <c r="B2810" i="1"/>
  <c r="A2811" i="1"/>
  <c r="B2811" i="1"/>
  <c r="A2812" i="1"/>
  <c r="B2812" i="1"/>
  <c r="A2813" i="1"/>
  <c r="A2814" i="1"/>
  <c r="B2814" i="1"/>
  <c r="A2815" i="1"/>
  <c r="B2815" i="1"/>
  <c r="A2816" i="1"/>
  <c r="B2816" i="1"/>
  <c r="A2817" i="1"/>
  <c r="B2817" i="1"/>
  <c r="A2818" i="1"/>
  <c r="B2818" i="1"/>
  <c r="A2819" i="1"/>
  <c r="B2819" i="1"/>
  <c r="A2820" i="1"/>
  <c r="B2820" i="1"/>
  <c r="A2821" i="1"/>
  <c r="B2821" i="1"/>
  <c r="A2822" i="1"/>
  <c r="B2822" i="1"/>
  <c r="A2823" i="1"/>
  <c r="B2823" i="1"/>
  <c r="A2824" i="1"/>
  <c r="B2824" i="1"/>
  <c r="A2825" i="1"/>
  <c r="B2825" i="1"/>
  <c r="A2826" i="1"/>
  <c r="B2826" i="1"/>
  <c r="A2827" i="1"/>
  <c r="B2827" i="1"/>
  <c r="A2828" i="1"/>
  <c r="B2828" i="1"/>
  <c r="A2829" i="1"/>
  <c r="B2829" i="1"/>
  <c r="A2830" i="1"/>
  <c r="A2831" i="1"/>
  <c r="B2831" i="1"/>
  <c r="A2832" i="1"/>
  <c r="B2832" i="1"/>
  <c r="A2833" i="1"/>
  <c r="B2833" i="1"/>
  <c r="A2834" i="1"/>
  <c r="B2834" i="1"/>
  <c r="A2835" i="1"/>
  <c r="B2835" i="1"/>
  <c r="A2836" i="1"/>
  <c r="B2836" i="1"/>
  <c r="A2837" i="1"/>
  <c r="B2837" i="1"/>
  <c r="A2838" i="1"/>
  <c r="B2838" i="1"/>
  <c r="A2839" i="1"/>
  <c r="B2839" i="1"/>
  <c r="A2840" i="1"/>
  <c r="B2840" i="1"/>
  <c r="A2841" i="1"/>
  <c r="B2841" i="1"/>
  <c r="A2842" i="1"/>
  <c r="B2842" i="1"/>
  <c r="A2843" i="1"/>
  <c r="B2843" i="1"/>
  <c r="A2844" i="1"/>
  <c r="B2844" i="1"/>
  <c r="A2845" i="1"/>
  <c r="B2845" i="1"/>
  <c r="A2846" i="1"/>
  <c r="B2846" i="1"/>
  <c r="A2847" i="1"/>
  <c r="B2847" i="1"/>
  <c r="A2848" i="1"/>
  <c r="B2848" i="1"/>
  <c r="A2849" i="1"/>
  <c r="B2849" i="1"/>
  <c r="A2850" i="1"/>
  <c r="B2850" i="1"/>
  <c r="A2851" i="1"/>
  <c r="B2851" i="1"/>
  <c r="A2852" i="1"/>
  <c r="B2852" i="1"/>
  <c r="A2853" i="1"/>
  <c r="B2853" i="1"/>
  <c r="A2854" i="1"/>
  <c r="B2854" i="1"/>
  <c r="A2855" i="1"/>
  <c r="B2855" i="1"/>
  <c r="A2856" i="1"/>
  <c r="B2856" i="1"/>
  <c r="A2857" i="1"/>
  <c r="B2857" i="1"/>
  <c r="A2858" i="1"/>
  <c r="B2858" i="1"/>
  <c r="A2859" i="1"/>
  <c r="B2859" i="1"/>
  <c r="A2860" i="1"/>
  <c r="B2860" i="1"/>
  <c r="A2861" i="1"/>
  <c r="B2861" i="1"/>
  <c r="A2862" i="1"/>
  <c r="B2862" i="1"/>
  <c r="A2863" i="1"/>
  <c r="B2863" i="1"/>
  <c r="A2864" i="1"/>
  <c r="B2864" i="1"/>
  <c r="A2865" i="1"/>
  <c r="B2865" i="1"/>
  <c r="A2866" i="1"/>
  <c r="B2866" i="1"/>
  <c r="A2867" i="1"/>
  <c r="B2867" i="1"/>
  <c r="A2868" i="1"/>
  <c r="B2868" i="1"/>
  <c r="A2869" i="1"/>
  <c r="A2870" i="1"/>
  <c r="B2870" i="1"/>
  <c r="A2871" i="1"/>
  <c r="B2871" i="1"/>
  <c r="A2872" i="1"/>
  <c r="B2872" i="1"/>
  <c r="A2873" i="1"/>
  <c r="B2873" i="1"/>
  <c r="A2874" i="1"/>
  <c r="B2874" i="1"/>
  <c r="A2875" i="1"/>
  <c r="B2875" i="1"/>
  <c r="A2876" i="1"/>
  <c r="B2876" i="1"/>
  <c r="A2877" i="1"/>
  <c r="B2877" i="1"/>
  <c r="A2878" i="1"/>
  <c r="B2878" i="1"/>
  <c r="A2879" i="1"/>
  <c r="B2879" i="1"/>
  <c r="A2880" i="1"/>
  <c r="B2880" i="1"/>
  <c r="A2881" i="1"/>
  <c r="B2881" i="1"/>
  <c r="A2882" i="1"/>
  <c r="B2882" i="1"/>
  <c r="A2883" i="1"/>
  <c r="B2883" i="1"/>
  <c r="A2884" i="1"/>
  <c r="B2884" i="1"/>
  <c r="A2885" i="1"/>
  <c r="B2885" i="1"/>
  <c r="A2886" i="1"/>
  <c r="B2886" i="1"/>
  <c r="A2887" i="1"/>
  <c r="B2887" i="1"/>
  <c r="A2888" i="1"/>
  <c r="B2888" i="1"/>
  <c r="A2889" i="1"/>
  <c r="B2889" i="1"/>
  <c r="A2890" i="1"/>
  <c r="B2890" i="1"/>
  <c r="A2891" i="1"/>
  <c r="A2892" i="1"/>
  <c r="B2892" i="1"/>
  <c r="A2893" i="1"/>
  <c r="B2893" i="1"/>
  <c r="A2894" i="1"/>
  <c r="B2894" i="1"/>
  <c r="A2895" i="1"/>
  <c r="B2895" i="1"/>
  <c r="A2896" i="1"/>
  <c r="B2896" i="1"/>
  <c r="A2897" i="1"/>
  <c r="B2897" i="1"/>
  <c r="A2898" i="1"/>
  <c r="B2898" i="1"/>
  <c r="A2899" i="1"/>
  <c r="B2899" i="1"/>
  <c r="A2900" i="1"/>
  <c r="B2900" i="1"/>
  <c r="A2901" i="1"/>
  <c r="A2902" i="1"/>
  <c r="B2902" i="1"/>
  <c r="A2903" i="1"/>
  <c r="B2903" i="1"/>
  <c r="A2904" i="1"/>
  <c r="B2904" i="1"/>
  <c r="A2905" i="1"/>
  <c r="B2905" i="1"/>
  <c r="A2906" i="1"/>
  <c r="B2906" i="1"/>
  <c r="A2907" i="1"/>
  <c r="B2907" i="1"/>
  <c r="A2908" i="1"/>
  <c r="B2908" i="1"/>
  <c r="A2909" i="1"/>
  <c r="B2909" i="1"/>
  <c r="A2910" i="1"/>
  <c r="B2910" i="1"/>
  <c r="A2911" i="1"/>
  <c r="B2911" i="1"/>
  <c r="A2912" i="1"/>
  <c r="B2912" i="1"/>
  <c r="A2913" i="1"/>
  <c r="B2913" i="1"/>
  <c r="A2914" i="1"/>
  <c r="B2914" i="1"/>
  <c r="A2915" i="1"/>
  <c r="B2915" i="1"/>
  <c r="A2916" i="1"/>
  <c r="B2916" i="1"/>
  <c r="A2917" i="1"/>
  <c r="B2917" i="1"/>
  <c r="A2918" i="1"/>
  <c r="B2918" i="1"/>
  <c r="A2919" i="1"/>
  <c r="B2919" i="1"/>
  <c r="A2920" i="1"/>
  <c r="B2920" i="1"/>
  <c r="A2921" i="1"/>
  <c r="B2921" i="1"/>
  <c r="A2922" i="1"/>
  <c r="B2922" i="1"/>
  <c r="A2923" i="1"/>
  <c r="B2923" i="1"/>
  <c r="A2924" i="1"/>
  <c r="B2924" i="1"/>
  <c r="A2925" i="1"/>
  <c r="B2925" i="1"/>
  <c r="A2926" i="1"/>
  <c r="B2926" i="1"/>
  <c r="A2927" i="1"/>
  <c r="B2927" i="1"/>
  <c r="A2928" i="1"/>
  <c r="B2928" i="1"/>
  <c r="A2929" i="1"/>
  <c r="B2929" i="1"/>
  <c r="A2930" i="1"/>
  <c r="B2930" i="1"/>
  <c r="A2931" i="1"/>
  <c r="B2931" i="1"/>
  <c r="A2932" i="1"/>
  <c r="A2933" i="1"/>
  <c r="B2933" i="1"/>
  <c r="A2934" i="1"/>
  <c r="B2934" i="1"/>
  <c r="A2935" i="1"/>
  <c r="B2935" i="1"/>
  <c r="A2936" i="1"/>
  <c r="B2936" i="1"/>
  <c r="A2937" i="1"/>
  <c r="A2938" i="1"/>
  <c r="A2939" i="1"/>
  <c r="B2939" i="1"/>
  <c r="A2940" i="1"/>
  <c r="B2940" i="1"/>
  <c r="A2941" i="1"/>
  <c r="B2941" i="1"/>
  <c r="A2942" i="1"/>
  <c r="B2942" i="1"/>
  <c r="A2943" i="1"/>
  <c r="B2943" i="1"/>
  <c r="A2944" i="1"/>
  <c r="A2945" i="1"/>
  <c r="B2945" i="1"/>
  <c r="A2946" i="1"/>
  <c r="B2946" i="1"/>
  <c r="A2947" i="1"/>
  <c r="B2947" i="1"/>
  <c r="A2948" i="1"/>
  <c r="B2948" i="1"/>
  <c r="A2949" i="1"/>
  <c r="B2949" i="1"/>
  <c r="A2950" i="1"/>
  <c r="B2950" i="1"/>
  <c r="A2951" i="1"/>
  <c r="B2951" i="1"/>
  <c r="A2952" i="1"/>
  <c r="A2953" i="1"/>
  <c r="B2953" i="1"/>
  <c r="A2954" i="1"/>
  <c r="B2954" i="1"/>
  <c r="A2955" i="1"/>
  <c r="B2955" i="1"/>
  <c r="A2956" i="1"/>
  <c r="B2956" i="1"/>
  <c r="A2957" i="1"/>
  <c r="B2957" i="1"/>
  <c r="A2958" i="1"/>
  <c r="B2958" i="1"/>
  <c r="A2959" i="1"/>
  <c r="A2960" i="1"/>
  <c r="A2961" i="1"/>
  <c r="A2962" i="1"/>
  <c r="B2962" i="1"/>
  <c r="A2963" i="1"/>
  <c r="B2963" i="1"/>
  <c r="A2964" i="1"/>
  <c r="B2964" i="1"/>
  <c r="A2965" i="1"/>
  <c r="B2965" i="1"/>
  <c r="A2966" i="1"/>
  <c r="B2966" i="1"/>
  <c r="A2967" i="1"/>
  <c r="B2967" i="1"/>
  <c r="A2968" i="1"/>
  <c r="A2969" i="1"/>
  <c r="B2969" i="1"/>
  <c r="A2970" i="1"/>
  <c r="B2970" i="1"/>
  <c r="A2971" i="1"/>
  <c r="B2971" i="1"/>
  <c r="A2972" i="1"/>
  <c r="B2972" i="1"/>
  <c r="A2973" i="1"/>
  <c r="B2973" i="1"/>
  <c r="A2974" i="1"/>
  <c r="B2974" i="1"/>
  <c r="A2975" i="1"/>
  <c r="B2975" i="1"/>
  <c r="A2976" i="1"/>
  <c r="B2976" i="1"/>
  <c r="A2977" i="1"/>
  <c r="B2977" i="1"/>
  <c r="A2978" i="1"/>
  <c r="B2978" i="1"/>
  <c r="A2979" i="1"/>
  <c r="B2979" i="1"/>
  <c r="A2980" i="1"/>
  <c r="B2980" i="1"/>
  <c r="A2981" i="1"/>
  <c r="A2982" i="1"/>
  <c r="B2982" i="1"/>
  <c r="A2983" i="1"/>
  <c r="A2984" i="1"/>
  <c r="A2985" i="1"/>
  <c r="B2985" i="1"/>
  <c r="A2986" i="1"/>
  <c r="A2987" i="1"/>
  <c r="B2987" i="1"/>
  <c r="A2988" i="1"/>
  <c r="B2988" i="1"/>
  <c r="A2989" i="1"/>
  <c r="B2989" i="1"/>
  <c r="A2990" i="1"/>
  <c r="B2990" i="1"/>
  <c r="A2991" i="1"/>
  <c r="B2991" i="1"/>
  <c r="A2992" i="1"/>
  <c r="B2992" i="1"/>
  <c r="A2993" i="1"/>
  <c r="B2993" i="1"/>
  <c r="A2994" i="1"/>
  <c r="B2994" i="1"/>
  <c r="A2995" i="1"/>
  <c r="B2995" i="1"/>
  <c r="A2996" i="1"/>
  <c r="B2996" i="1"/>
  <c r="A2997" i="1"/>
  <c r="B2997" i="1"/>
  <c r="A2998" i="1"/>
  <c r="A2999" i="1"/>
  <c r="B2999" i="1"/>
  <c r="A3000" i="1"/>
  <c r="B3000" i="1"/>
  <c r="A3001" i="1"/>
  <c r="B3001" i="1"/>
  <c r="A3002" i="1"/>
  <c r="B3002" i="1"/>
  <c r="A3003" i="1"/>
  <c r="B3003" i="1"/>
  <c r="A3004" i="1"/>
  <c r="B3004" i="1"/>
  <c r="A3005" i="1"/>
  <c r="B3005" i="1"/>
  <c r="A3006" i="1"/>
  <c r="B3006" i="1"/>
  <c r="A3007" i="1"/>
  <c r="B3007" i="1"/>
  <c r="A3008" i="1"/>
  <c r="B3008" i="1"/>
  <c r="A3009" i="1"/>
  <c r="B3009" i="1"/>
  <c r="A3010" i="1"/>
  <c r="B3010" i="1"/>
  <c r="A3011" i="1"/>
  <c r="B3011" i="1"/>
  <c r="A3012" i="1"/>
  <c r="B3012" i="1"/>
  <c r="A3013" i="1"/>
  <c r="A3014" i="1"/>
  <c r="B3014" i="1"/>
  <c r="A3015" i="1"/>
  <c r="B3015" i="1"/>
  <c r="A3016" i="1"/>
  <c r="B3016" i="1"/>
  <c r="A3017" i="1"/>
  <c r="B3017" i="1"/>
  <c r="A3018" i="1"/>
  <c r="B3018" i="1"/>
  <c r="A3019" i="1"/>
  <c r="A3020" i="1"/>
  <c r="B3020" i="1"/>
  <c r="A3021" i="1"/>
  <c r="B3021" i="1"/>
  <c r="A3022" i="1"/>
  <c r="B3022" i="1"/>
  <c r="A3023" i="1"/>
  <c r="B3023" i="1"/>
  <c r="A3024" i="1"/>
  <c r="B3024" i="1"/>
  <c r="A3025" i="1"/>
  <c r="A3026" i="1"/>
  <c r="A3027" i="1"/>
  <c r="A3028" i="1"/>
  <c r="B3028" i="1"/>
  <c r="A3029" i="1"/>
  <c r="B3029" i="1"/>
  <c r="A3030" i="1"/>
  <c r="B3030" i="1"/>
  <c r="A3031" i="1"/>
  <c r="B3031" i="1"/>
  <c r="A3032" i="1"/>
  <c r="B3032" i="1"/>
  <c r="A3033" i="1"/>
  <c r="B3033" i="1"/>
  <c r="A3034" i="1"/>
  <c r="B3034" i="1"/>
  <c r="A3035" i="1"/>
  <c r="B3035" i="1"/>
  <c r="A3036" i="1"/>
  <c r="A3037" i="1"/>
  <c r="A3038" i="1"/>
  <c r="A3039" i="1"/>
  <c r="B3039" i="1"/>
  <c r="A3040" i="1"/>
  <c r="B3040" i="1"/>
  <c r="A3041" i="1"/>
  <c r="B3041" i="1"/>
  <c r="A3042" i="1"/>
  <c r="B3042" i="1"/>
  <c r="A3043" i="1"/>
  <c r="B3043" i="1"/>
  <c r="A3044" i="1"/>
  <c r="A3045" i="1"/>
  <c r="B3045" i="1"/>
  <c r="A3046" i="1"/>
  <c r="A3047" i="1"/>
  <c r="B3047" i="1"/>
  <c r="A3048" i="1"/>
  <c r="B3048" i="1"/>
  <c r="A3049" i="1"/>
  <c r="A3050" i="1"/>
  <c r="B3050" i="1"/>
  <c r="A3051" i="1"/>
  <c r="B3051" i="1"/>
  <c r="A3052" i="1"/>
  <c r="B3052" i="1"/>
  <c r="A3053" i="1"/>
  <c r="B3053" i="1"/>
  <c r="A3054" i="1"/>
  <c r="B3054" i="1"/>
  <c r="A3055" i="1"/>
  <c r="B3055" i="1"/>
  <c r="A3056" i="1"/>
  <c r="B3056" i="1"/>
  <c r="A3057" i="1"/>
  <c r="A3058" i="1"/>
  <c r="B3058" i="1"/>
  <c r="A3059" i="1"/>
  <c r="B3059" i="1"/>
  <c r="A3060" i="1"/>
  <c r="B3060" i="1"/>
  <c r="A3061" i="1"/>
  <c r="A3062" i="1"/>
  <c r="B3062" i="1"/>
  <c r="A3063" i="1"/>
  <c r="A3064" i="1"/>
  <c r="B3064" i="1"/>
  <c r="A3065" i="1"/>
  <c r="B3065" i="1"/>
  <c r="A3066" i="1"/>
  <c r="B3066" i="1"/>
  <c r="A3067" i="1"/>
  <c r="B3067" i="1"/>
  <c r="A3068" i="1"/>
  <c r="B3068" i="1"/>
  <c r="A3069" i="1"/>
  <c r="A3070" i="1"/>
  <c r="B3070" i="1"/>
  <c r="A3071" i="1"/>
  <c r="B3071" i="1"/>
  <c r="A3072" i="1"/>
  <c r="A3073" i="1"/>
  <c r="B3073" i="1"/>
  <c r="A3074" i="1"/>
  <c r="B3074" i="1"/>
  <c r="A3075" i="1"/>
  <c r="B3075" i="1"/>
  <c r="A3076" i="1"/>
  <c r="A3077" i="1"/>
  <c r="B3077" i="1"/>
  <c r="A3078" i="1"/>
  <c r="B3078" i="1"/>
  <c r="A3079" i="1"/>
  <c r="B3079" i="1"/>
  <c r="A3080" i="1"/>
  <c r="B3080" i="1"/>
  <c r="A3081" i="1"/>
  <c r="B3081" i="1"/>
  <c r="A3082" i="1"/>
  <c r="B3082" i="1"/>
  <c r="A3083" i="1"/>
  <c r="B3083" i="1"/>
  <c r="A3084" i="1"/>
  <c r="B3084" i="1"/>
  <c r="A3085" i="1"/>
  <c r="B3085" i="1"/>
  <c r="A3086" i="1"/>
  <c r="B3086" i="1"/>
  <c r="A3087" i="1"/>
  <c r="B3087" i="1"/>
  <c r="A3088" i="1"/>
  <c r="B3088" i="1"/>
  <c r="A3089" i="1"/>
  <c r="A3090" i="1"/>
  <c r="B3090" i="1"/>
  <c r="A3091" i="1"/>
  <c r="A3092" i="1"/>
  <c r="A3093" i="1"/>
  <c r="B3093" i="1"/>
  <c r="A3094" i="1"/>
  <c r="B3094" i="1"/>
  <c r="A3095" i="1"/>
  <c r="B3095" i="1"/>
  <c r="A3096" i="1"/>
  <c r="A3097" i="1"/>
  <c r="B3097" i="1"/>
  <c r="A3098" i="1"/>
  <c r="B3098" i="1"/>
  <c r="A3099" i="1"/>
  <c r="A3100" i="1"/>
  <c r="B3100" i="1"/>
  <c r="A3101" i="1"/>
  <c r="A3102" i="1"/>
  <c r="B3102" i="1"/>
  <c r="A3103" i="1"/>
  <c r="B3103" i="1"/>
  <c r="A3104" i="1"/>
  <c r="B3104" i="1"/>
  <c r="A3105" i="1"/>
  <c r="A3106" i="1"/>
  <c r="B3106" i="1"/>
  <c r="A3107" i="1"/>
  <c r="B3107" i="1"/>
  <c r="A3108" i="1"/>
  <c r="B3108" i="1"/>
  <c r="A3109" i="1"/>
  <c r="B3109" i="1"/>
  <c r="A3110" i="1"/>
  <c r="B3110" i="1"/>
  <c r="A3111" i="1"/>
  <c r="B3111" i="1"/>
  <c r="A3112" i="1"/>
  <c r="B3112" i="1"/>
  <c r="A3113" i="1"/>
  <c r="B3113" i="1"/>
  <c r="A3114" i="1"/>
  <c r="B3114" i="1"/>
  <c r="A3115" i="1"/>
  <c r="B3115" i="1"/>
  <c r="A3116" i="1"/>
  <c r="B3116" i="1"/>
  <c r="A3117" i="1"/>
  <c r="B3117" i="1"/>
  <c r="A3118" i="1"/>
  <c r="A3119" i="1"/>
  <c r="B3119" i="1"/>
  <c r="A3120" i="1"/>
  <c r="B3120" i="1"/>
  <c r="A3121" i="1"/>
  <c r="A3122" i="1"/>
  <c r="B3122" i="1"/>
  <c r="A3123" i="1"/>
  <c r="B3123" i="1"/>
  <c r="A3124" i="1"/>
  <c r="B3124" i="1"/>
  <c r="A3125" i="1"/>
  <c r="B3125" i="1"/>
  <c r="A3126" i="1"/>
  <c r="B3126" i="1"/>
  <c r="A3127" i="1"/>
  <c r="B3127" i="1"/>
  <c r="A3128" i="1"/>
  <c r="B3128" i="1"/>
  <c r="A3129" i="1"/>
  <c r="B3129" i="1"/>
  <c r="A3130" i="1"/>
  <c r="B3130" i="1"/>
  <c r="A3131" i="1"/>
  <c r="B3131" i="1"/>
  <c r="A3132" i="1"/>
  <c r="A3133" i="1"/>
  <c r="A3134" i="1"/>
  <c r="B3134" i="1"/>
  <c r="A3135" i="1"/>
  <c r="B3135" i="1"/>
  <c r="A3136" i="1"/>
  <c r="B3136" i="1"/>
  <c r="A3137" i="1"/>
  <c r="B3137" i="1"/>
  <c r="A3138" i="1"/>
  <c r="B3138" i="1"/>
  <c r="A3139" i="1"/>
  <c r="A3140" i="1"/>
  <c r="A3141" i="1"/>
  <c r="B3141" i="1"/>
  <c r="A3142" i="1"/>
  <c r="A3143" i="1"/>
  <c r="B3143" i="1"/>
  <c r="A3144" i="1"/>
  <c r="B3144" i="1"/>
  <c r="A3145" i="1"/>
  <c r="B3145" i="1"/>
  <c r="A3146" i="1"/>
  <c r="A3147" i="1"/>
  <c r="A3148" i="1"/>
  <c r="B3148" i="1"/>
  <c r="A3149" i="1"/>
  <c r="B3149" i="1"/>
  <c r="A3150" i="1"/>
  <c r="A3151" i="1"/>
  <c r="B3151" i="1"/>
  <c r="A3152" i="1"/>
  <c r="A3153" i="1"/>
  <c r="B3153" i="1"/>
  <c r="A3154" i="1"/>
  <c r="A3155" i="1"/>
  <c r="A3156" i="1"/>
  <c r="A3157" i="1"/>
  <c r="B3157" i="1"/>
  <c r="A3158" i="1"/>
  <c r="A3159" i="1"/>
  <c r="A3160" i="1"/>
  <c r="B3160" i="1"/>
  <c r="A3161" i="1"/>
  <c r="B3161" i="1"/>
  <c r="A3162" i="1"/>
  <c r="B3162" i="1"/>
  <c r="A3163" i="1"/>
  <c r="B3163" i="1"/>
  <c r="A3164" i="1"/>
  <c r="B3164" i="1"/>
  <c r="A3165" i="1"/>
  <c r="B3165" i="1"/>
  <c r="A3166" i="1"/>
  <c r="B3166" i="1"/>
  <c r="A3167" i="1"/>
  <c r="B3167" i="1"/>
  <c r="A3168" i="1"/>
  <c r="B3168" i="1"/>
  <c r="A3169" i="1"/>
  <c r="B3169" i="1"/>
  <c r="A3170" i="1"/>
  <c r="A3171" i="1"/>
  <c r="B3171" i="1"/>
  <c r="A3172" i="1"/>
  <c r="B3172" i="1"/>
  <c r="A3173" i="1"/>
  <c r="A3174" i="1"/>
  <c r="B3174" i="1"/>
  <c r="A3175" i="1"/>
  <c r="B3175" i="1"/>
  <c r="A3176" i="1"/>
  <c r="B3176" i="1"/>
  <c r="A3177" i="1"/>
  <c r="B3177" i="1"/>
  <c r="A3178" i="1"/>
  <c r="B3178" i="1"/>
  <c r="A3179" i="1"/>
  <c r="A3180" i="1"/>
  <c r="A3181" i="1"/>
  <c r="A3182" i="1"/>
  <c r="A3183" i="1"/>
  <c r="B3183" i="1"/>
  <c r="A3184" i="1"/>
  <c r="B3184" i="1"/>
  <c r="A3185" i="1"/>
  <c r="B3185" i="1"/>
  <c r="A3186" i="1"/>
  <c r="B3186" i="1"/>
  <c r="A3187" i="1"/>
  <c r="B3187" i="1"/>
  <c r="A3188" i="1"/>
  <c r="B3188" i="1"/>
  <c r="A3189" i="1"/>
  <c r="B3189" i="1"/>
  <c r="A3190" i="1"/>
  <c r="B3190" i="1"/>
  <c r="A3191" i="1"/>
  <c r="B3191" i="1"/>
  <c r="A3192" i="1"/>
  <c r="B3192" i="1"/>
  <c r="A3193" i="1"/>
  <c r="B3193" i="1"/>
  <c r="A3194" i="1"/>
  <c r="B3194" i="1"/>
  <c r="A3195" i="1"/>
  <c r="A3196" i="1"/>
  <c r="A3197" i="1"/>
  <c r="B3197" i="1"/>
  <c r="A3198" i="1"/>
  <c r="B3198" i="1"/>
  <c r="A3199" i="1"/>
  <c r="B3199" i="1"/>
  <c r="A3200" i="1"/>
  <c r="B3200" i="1"/>
  <c r="A3201" i="1"/>
  <c r="B3201" i="1"/>
  <c r="A3202" i="1"/>
  <c r="A3203" i="1"/>
  <c r="A3204" i="1"/>
  <c r="A3205" i="1"/>
  <c r="B3205" i="1"/>
  <c r="A3206" i="1"/>
  <c r="B3206" i="1"/>
  <c r="A3207" i="1"/>
  <c r="A3208" i="1"/>
  <c r="A3209" i="1"/>
  <c r="A3210" i="1"/>
  <c r="B3210" i="1"/>
  <c r="A3211" i="1"/>
  <c r="B3211" i="1"/>
  <c r="A3212" i="1"/>
  <c r="B3212" i="1"/>
  <c r="A3213" i="1"/>
  <c r="A3214" i="1"/>
  <c r="B3214" i="1"/>
  <c r="A3215" i="1"/>
  <c r="A3216" i="1"/>
  <c r="A3217" i="1"/>
  <c r="B3217" i="1"/>
  <c r="A3218" i="1"/>
  <c r="B3218" i="1"/>
  <c r="A3219" i="1"/>
  <c r="B3219" i="1"/>
  <c r="A3220" i="1"/>
  <c r="B3220" i="1"/>
  <c r="A3221" i="1"/>
  <c r="B3221" i="1"/>
  <c r="A3222" i="1"/>
  <c r="B3222" i="1"/>
  <c r="A3223" i="1"/>
  <c r="B3223" i="1"/>
  <c r="A3224" i="1"/>
  <c r="B3224" i="1"/>
  <c r="A3225" i="1"/>
  <c r="B3225" i="1"/>
  <c r="A3226" i="1"/>
  <c r="B3226" i="1"/>
  <c r="A3227" i="1"/>
  <c r="B3227" i="1"/>
  <c r="A3228" i="1"/>
  <c r="B3228" i="1"/>
  <c r="A3229" i="1"/>
  <c r="B3229" i="1"/>
  <c r="A3230" i="1"/>
  <c r="B3230" i="1"/>
  <c r="A3231" i="1"/>
  <c r="B3231" i="1"/>
  <c r="A3232" i="1"/>
  <c r="B3232" i="1"/>
  <c r="A3233" i="1"/>
  <c r="A3234" i="1"/>
  <c r="B3234" i="1"/>
  <c r="A3235" i="1"/>
  <c r="B3235" i="1"/>
  <c r="A3236" i="1"/>
  <c r="A3237" i="1"/>
  <c r="B3237" i="1"/>
  <c r="A3238" i="1"/>
  <c r="B3238" i="1"/>
  <c r="A3239" i="1"/>
  <c r="B3239" i="1"/>
  <c r="A3240" i="1"/>
  <c r="B3240" i="1"/>
  <c r="A3241" i="1"/>
  <c r="B3241" i="1"/>
  <c r="A3242" i="1"/>
  <c r="B3242" i="1"/>
  <c r="A3243" i="1"/>
  <c r="B3243" i="1"/>
  <c r="A3244" i="1"/>
  <c r="B3244" i="1"/>
  <c r="A3245" i="1"/>
  <c r="B3245" i="1"/>
  <c r="A3246" i="1"/>
  <c r="B3246" i="1"/>
  <c r="A3247" i="1"/>
  <c r="B3247" i="1"/>
  <c r="A3248" i="1"/>
  <c r="B3248" i="1"/>
  <c r="A3249" i="1"/>
  <c r="A3250" i="1"/>
  <c r="A3251" i="1"/>
  <c r="B3251" i="1"/>
  <c r="A3252" i="1"/>
  <c r="B3252" i="1"/>
  <c r="A3253" i="1"/>
  <c r="A3254" i="1"/>
  <c r="B3254" i="1"/>
  <c r="A3255" i="1"/>
  <c r="B3255" i="1"/>
  <c r="A3256" i="1"/>
  <c r="B3256" i="1"/>
  <c r="A3257" i="1"/>
  <c r="A3258" i="1"/>
  <c r="B3258" i="1"/>
  <c r="A3259" i="1"/>
  <c r="B3259" i="1"/>
  <c r="A3260" i="1"/>
  <c r="B3260" i="1"/>
  <c r="A3261" i="1"/>
  <c r="B3261" i="1"/>
  <c r="A3262" i="1"/>
  <c r="B3262" i="1"/>
  <c r="A3263" i="1"/>
  <c r="A3264" i="1"/>
  <c r="A3265" i="1"/>
  <c r="B3265" i="1"/>
  <c r="A3266" i="1"/>
  <c r="B3266" i="1"/>
  <c r="A3267" i="1"/>
  <c r="B3267" i="1"/>
  <c r="A3268" i="1"/>
  <c r="B3268" i="1"/>
  <c r="A3269" i="1"/>
  <c r="B3269" i="1"/>
  <c r="A3270" i="1"/>
  <c r="B3270" i="1"/>
  <c r="A3271" i="1"/>
  <c r="B3271" i="1"/>
  <c r="A3272" i="1"/>
  <c r="A3273" i="1"/>
  <c r="B3273" i="1"/>
  <c r="A3274" i="1"/>
  <c r="B3274" i="1"/>
  <c r="A3275" i="1"/>
  <c r="B3275" i="1"/>
  <c r="A3276" i="1"/>
  <c r="B3276" i="1"/>
  <c r="A3277" i="1"/>
  <c r="B3277" i="1"/>
  <c r="A3278" i="1"/>
  <c r="B3278" i="1"/>
  <c r="A3279" i="1"/>
  <c r="B3279" i="1"/>
  <c r="A3280" i="1"/>
  <c r="B3280" i="1"/>
  <c r="A3281" i="1"/>
  <c r="B3281" i="1"/>
  <c r="A3282" i="1"/>
  <c r="B3282" i="1"/>
  <c r="A3283" i="1"/>
  <c r="B3283" i="1"/>
  <c r="A3284" i="1"/>
  <c r="A3285" i="1"/>
  <c r="B3285" i="1"/>
  <c r="A3286" i="1"/>
  <c r="B3286" i="1"/>
  <c r="A3287" i="1"/>
  <c r="B3287" i="1"/>
  <c r="A3288" i="1"/>
  <c r="A3289" i="1"/>
  <c r="B3289" i="1"/>
  <c r="A3290" i="1"/>
  <c r="B3290" i="1"/>
  <c r="A3291" i="1"/>
  <c r="B3291" i="1"/>
  <c r="A3292" i="1"/>
  <c r="B3292" i="1"/>
  <c r="A3293" i="1"/>
  <c r="B3293" i="1"/>
  <c r="A3294" i="1"/>
  <c r="B3294" i="1"/>
  <c r="A3295" i="1"/>
  <c r="B3295" i="1"/>
  <c r="A3296" i="1"/>
  <c r="B3296" i="1"/>
  <c r="A3297" i="1"/>
  <c r="B3297" i="1"/>
  <c r="A3298" i="1"/>
  <c r="B3298" i="1"/>
  <c r="A3299" i="1"/>
  <c r="B3299" i="1"/>
  <c r="A3300" i="1"/>
  <c r="B3300" i="1"/>
  <c r="A3301" i="1"/>
  <c r="B3301" i="1"/>
  <c r="A3302" i="1"/>
  <c r="B3302" i="1"/>
  <c r="A3303" i="1"/>
  <c r="B3303" i="1"/>
  <c r="A3304" i="1"/>
  <c r="B3304" i="1"/>
  <c r="A3305" i="1"/>
  <c r="B3305" i="1"/>
  <c r="A3306" i="1"/>
  <c r="B3306" i="1"/>
  <c r="A3307" i="1"/>
  <c r="B3307" i="1"/>
  <c r="A3308" i="1"/>
  <c r="B3308" i="1"/>
  <c r="A3309" i="1"/>
  <c r="B3309" i="1"/>
  <c r="A3310" i="1"/>
  <c r="B3310" i="1"/>
  <c r="A3311" i="1"/>
  <c r="B3311" i="1"/>
  <c r="A3312" i="1"/>
  <c r="A3313" i="1"/>
  <c r="B3313" i="1"/>
  <c r="A3314" i="1"/>
  <c r="B3314" i="1"/>
  <c r="A3315" i="1"/>
  <c r="A3316" i="1"/>
  <c r="B3316" i="1"/>
  <c r="A3317" i="1"/>
  <c r="B3317" i="1"/>
  <c r="A3318" i="1"/>
  <c r="B3318" i="1"/>
  <c r="A3319" i="1"/>
  <c r="B3319" i="1"/>
  <c r="A3320" i="1"/>
  <c r="B3320" i="1"/>
  <c r="A3321" i="1"/>
  <c r="B3321" i="1"/>
  <c r="A3322" i="1"/>
  <c r="A3323" i="1"/>
  <c r="A3324" i="1"/>
  <c r="B3324" i="1"/>
  <c r="A3325" i="1"/>
  <c r="B3325" i="1"/>
  <c r="A3326" i="1"/>
  <c r="B3326" i="1"/>
  <c r="A3327" i="1"/>
  <c r="B3327" i="1"/>
  <c r="A3328" i="1"/>
  <c r="B3328" i="1"/>
  <c r="A3329" i="1"/>
  <c r="B3329" i="1"/>
  <c r="A3330" i="1"/>
  <c r="B3330" i="1"/>
  <c r="A3331" i="1"/>
  <c r="B3331" i="1"/>
  <c r="A3332" i="1"/>
  <c r="B3332" i="1"/>
  <c r="A3333" i="1"/>
  <c r="B3333" i="1"/>
  <c r="A3334" i="1"/>
  <c r="B3334" i="1"/>
  <c r="A3335" i="1"/>
  <c r="A3336" i="1"/>
  <c r="B3336" i="1"/>
  <c r="A3337" i="1"/>
  <c r="B3337" i="1"/>
  <c r="A3338" i="1"/>
  <c r="B3338" i="1"/>
  <c r="A3339" i="1"/>
  <c r="B3339" i="1"/>
  <c r="A3340" i="1"/>
  <c r="B3340" i="1"/>
  <c r="A3341" i="1"/>
  <c r="B3341" i="1"/>
  <c r="A3342" i="1"/>
  <c r="B3342" i="1"/>
  <c r="A3343" i="1"/>
  <c r="B3343" i="1"/>
  <c r="A3344" i="1"/>
  <c r="B3344" i="1"/>
  <c r="A3345" i="1"/>
  <c r="B3345" i="1"/>
  <c r="A3346" i="1"/>
  <c r="B3346" i="1"/>
  <c r="A3347" i="1"/>
  <c r="B3347" i="1"/>
  <c r="A3348" i="1"/>
  <c r="B3348" i="1"/>
  <c r="A3349" i="1"/>
  <c r="B3349" i="1"/>
  <c r="A3350" i="1"/>
  <c r="A3351" i="1"/>
  <c r="A3352" i="1"/>
  <c r="A3353" i="1"/>
  <c r="A3354" i="1"/>
  <c r="A3355" i="1"/>
  <c r="A3356" i="1"/>
  <c r="A3357" i="1"/>
  <c r="B3357" i="1"/>
  <c r="A3358" i="1"/>
  <c r="A3359" i="1"/>
  <c r="A3360" i="1"/>
  <c r="A3361" i="1"/>
  <c r="A3362" i="1"/>
  <c r="B3362" i="1"/>
  <c r="A3363" i="1"/>
  <c r="A3364" i="1"/>
  <c r="A3365" i="1"/>
  <c r="A3366" i="1"/>
  <c r="B3366" i="1"/>
  <c r="A3367" i="1"/>
  <c r="B3367" i="1"/>
  <c r="A3368" i="1"/>
  <c r="B3368" i="1"/>
  <c r="A3369" i="1"/>
  <c r="B3369" i="1"/>
  <c r="A3370" i="1"/>
  <c r="B3370" i="1"/>
  <c r="A3371" i="1"/>
  <c r="B3371" i="1"/>
  <c r="A3372" i="1"/>
  <c r="B3372" i="1"/>
  <c r="A3373" i="1"/>
  <c r="B3373" i="1"/>
  <c r="A3374" i="1"/>
  <c r="B3374" i="1"/>
  <c r="A3375" i="1"/>
  <c r="B3375" i="1"/>
  <c r="A3376" i="1"/>
  <c r="B3376" i="1"/>
  <c r="A3377" i="1"/>
  <c r="B3377" i="1"/>
  <c r="A3378" i="1"/>
  <c r="B3378" i="1"/>
  <c r="A3379" i="1"/>
  <c r="B3379" i="1"/>
  <c r="A3380" i="1"/>
  <c r="B3380" i="1"/>
  <c r="A3381" i="1"/>
  <c r="B3381" i="1"/>
  <c r="A3382" i="1"/>
  <c r="B3382" i="1"/>
  <c r="A3383" i="1"/>
  <c r="B3383" i="1"/>
  <c r="A3384" i="1"/>
  <c r="B3384" i="1"/>
  <c r="A3385" i="1"/>
  <c r="B3385" i="1"/>
  <c r="A3386" i="1"/>
  <c r="B3386" i="1"/>
  <c r="A3387" i="1"/>
  <c r="B3387" i="1"/>
  <c r="A3388" i="1"/>
  <c r="A3389" i="1"/>
  <c r="B3389" i="1"/>
  <c r="A3390" i="1"/>
  <c r="B3390" i="1"/>
  <c r="A3391" i="1"/>
  <c r="B3391" i="1"/>
  <c r="A3392" i="1"/>
  <c r="B3392" i="1"/>
  <c r="A3393" i="1"/>
  <c r="A3394" i="1"/>
  <c r="B3394" i="1"/>
  <c r="A3395" i="1"/>
  <c r="B3395" i="1"/>
  <c r="A3396" i="1"/>
  <c r="B3396" i="1"/>
  <c r="A3397" i="1"/>
  <c r="B3397" i="1"/>
  <c r="A3398" i="1"/>
  <c r="B3398" i="1"/>
  <c r="A3399" i="1"/>
  <c r="B3399" i="1"/>
  <c r="A3400" i="1"/>
  <c r="B3400" i="1"/>
  <c r="A3401" i="1"/>
  <c r="A3402" i="1"/>
  <c r="B3402" i="1"/>
  <c r="A3403" i="1"/>
  <c r="B3403" i="1"/>
  <c r="A3404" i="1"/>
  <c r="B3404" i="1"/>
  <c r="A3405" i="1"/>
  <c r="B3405" i="1"/>
  <c r="A3406" i="1"/>
  <c r="B3406" i="1"/>
  <c r="A3407" i="1"/>
  <c r="B3407" i="1"/>
  <c r="A3408" i="1"/>
  <c r="B3408" i="1"/>
  <c r="A3409" i="1"/>
  <c r="B3409" i="1"/>
  <c r="A3410" i="1"/>
  <c r="B3410" i="1"/>
  <c r="A3411" i="1"/>
  <c r="A3412" i="1"/>
  <c r="B3412" i="1"/>
  <c r="A3413" i="1"/>
  <c r="B3413" i="1"/>
  <c r="A3414" i="1"/>
  <c r="B3414" i="1"/>
  <c r="A3415" i="1"/>
  <c r="B3415" i="1"/>
  <c r="A3416" i="1"/>
  <c r="B3416" i="1"/>
  <c r="A3417" i="1"/>
  <c r="B3417" i="1"/>
  <c r="A3418" i="1"/>
  <c r="B3418" i="1"/>
  <c r="A3419" i="1"/>
  <c r="B3419" i="1"/>
  <c r="A3420" i="1"/>
  <c r="B3420" i="1"/>
  <c r="A3421" i="1"/>
  <c r="B3421" i="1"/>
  <c r="A3422" i="1"/>
  <c r="A3423" i="1"/>
  <c r="B3423" i="1"/>
  <c r="A3424" i="1"/>
  <c r="B3424" i="1"/>
  <c r="A3425" i="1"/>
  <c r="B3425" i="1"/>
  <c r="A3426" i="1"/>
  <c r="B3426" i="1"/>
  <c r="A3427" i="1"/>
  <c r="B3427" i="1"/>
  <c r="A3428" i="1"/>
  <c r="B3428" i="1"/>
  <c r="A3429" i="1"/>
  <c r="B3429" i="1"/>
  <c r="A3430" i="1"/>
  <c r="B3430" i="1"/>
  <c r="A3431" i="1"/>
  <c r="B3431" i="1"/>
  <c r="A3432" i="1"/>
  <c r="B3432" i="1"/>
  <c r="A3433" i="1"/>
  <c r="B3433" i="1"/>
  <c r="A3434" i="1"/>
  <c r="B3434" i="1"/>
  <c r="A3435" i="1"/>
  <c r="B3435" i="1"/>
  <c r="A3436" i="1"/>
  <c r="B3436" i="1"/>
  <c r="A3437" i="1"/>
  <c r="B3437" i="1"/>
  <c r="A3438" i="1"/>
  <c r="B3438" i="1"/>
  <c r="A3439" i="1"/>
  <c r="B3439" i="1"/>
  <c r="A3440" i="1"/>
  <c r="B3440" i="1"/>
  <c r="A3441" i="1"/>
  <c r="B3441" i="1"/>
  <c r="A3442" i="1"/>
  <c r="B3442" i="1"/>
  <c r="A3443" i="1"/>
  <c r="A3444" i="1"/>
  <c r="A3445" i="1"/>
  <c r="A3446" i="1"/>
  <c r="B3446" i="1"/>
  <c r="A3447" i="1"/>
  <c r="A3448" i="1"/>
  <c r="B3448" i="1"/>
  <c r="A3449" i="1"/>
  <c r="B3449" i="1"/>
  <c r="A3450" i="1"/>
  <c r="B3450" i="1"/>
  <c r="A3451" i="1"/>
  <c r="B3451" i="1"/>
  <c r="A3452" i="1"/>
  <c r="B3452" i="1"/>
  <c r="A3453" i="1"/>
  <c r="B3453" i="1"/>
  <c r="A3454" i="1"/>
  <c r="A3455" i="1"/>
  <c r="B3455" i="1"/>
  <c r="A3456" i="1"/>
  <c r="B3456" i="1"/>
  <c r="A3457" i="1"/>
  <c r="B3457" i="1"/>
  <c r="A3458" i="1"/>
  <c r="B3458" i="1"/>
  <c r="A3459" i="1"/>
  <c r="A3460" i="1"/>
  <c r="A3461" i="1"/>
  <c r="B3461" i="1"/>
  <c r="A3462" i="1"/>
  <c r="B3462" i="1"/>
  <c r="A3463" i="1"/>
  <c r="B3463" i="1"/>
  <c r="A3464" i="1"/>
  <c r="B3464" i="1"/>
  <c r="A3465" i="1"/>
  <c r="B3465" i="1"/>
  <c r="A3466" i="1"/>
  <c r="B3466" i="1"/>
  <c r="A3467" i="1"/>
  <c r="B3467" i="1"/>
  <c r="A3468" i="1"/>
  <c r="B3468" i="1"/>
  <c r="A3469" i="1"/>
  <c r="B3469" i="1"/>
  <c r="A3470" i="1"/>
  <c r="B3470" i="1"/>
  <c r="A3471" i="1"/>
  <c r="B3471" i="1"/>
  <c r="A3472" i="1"/>
  <c r="B3472" i="1"/>
  <c r="A3473" i="1"/>
  <c r="B3473" i="1"/>
  <c r="A3474" i="1"/>
  <c r="B3474" i="1"/>
  <c r="A3475" i="1"/>
  <c r="B3475" i="1"/>
  <c r="A3476" i="1"/>
  <c r="A3477" i="1"/>
  <c r="B3477" i="1"/>
  <c r="A3478" i="1"/>
  <c r="B3478" i="1"/>
  <c r="A3479" i="1"/>
  <c r="B3479" i="1"/>
  <c r="A3480" i="1"/>
  <c r="A3481" i="1"/>
  <c r="A3482" i="1"/>
  <c r="A3483" i="1"/>
  <c r="B3483" i="1"/>
  <c r="A3484" i="1"/>
  <c r="B3484" i="1"/>
  <c r="A3485" i="1"/>
  <c r="B3485" i="1"/>
  <c r="A3486" i="1"/>
  <c r="B3486" i="1"/>
  <c r="A3487" i="1"/>
  <c r="B3487" i="1"/>
  <c r="A3488" i="1"/>
  <c r="A3489" i="1"/>
  <c r="B3489" i="1"/>
  <c r="A3490" i="1"/>
  <c r="B3490" i="1"/>
  <c r="A3491" i="1"/>
  <c r="B3491" i="1"/>
  <c r="A3492" i="1"/>
  <c r="B3492" i="1"/>
  <c r="A3493" i="1"/>
  <c r="A3494" i="1"/>
  <c r="B3494" i="1"/>
  <c r="A3495" i="1"/>
  <c r="B3495" i="1"/>
  <c r="A3496" i="1"/>
  <c r="A3497" i="1"/>
  <c r="B3497" i="1"/>
  <c r="A3498" i="1"/>
  <c r="B3498" i="1"/>
  <c r="A3499" i="1"/>
  <c r="B3499" i="1"/>
  <c r="A3500" i="1"/>
  <c r="B3500" i="1"/>
  <c r="A3501" i="1"/>
  <c r="A3502" i="1"/>
  <c r="B3502" i="1"/>
  <c r="A3503" i="1"/>
  <c r="B3503" i="1"/>
  <c r="A3504" i="1"/>
  <c r="B3504" i="1"/>
  <c r="A3505" i="1"/>
  <c r="B3505" i="1"/>
  <c r="A3506" i="1"/>
  <c r="B3506" i="1"/>
  <c r="A3507" i="1"/>
  <c r="B3507" i="1"/>
  <c r="A3508" i="1"/>
  <c r="B3508" i="1"/>
  <c r="A3509" i="1"/>
  <c r="B3509" i="1"/>
  <c r="A3510" i="1"/>
  <c r="B3510" i="1"/>
  <c r="A3511" i="1"/>
  <c r="B3511" i="1"/>
  <c r="A3512" i="1"/>
  <c r="A3513" i="1"/>
  <c r="B3513" i="1"/>
  <c r="A3514" i="1"/>
  <c r="B3514" i="1"/>
  <c r="A3515" i="1"/>
  <c r="B3515" i="1"/>
  <c r="A3516" i="1"/>
  <c r="B3516" i="1"/>
  <c r="A3517" i="1"/>
  <c r="A3518" i="1"/>
  <c r="B3518" i="1"/>
  <c r="A3519" i="1"/>
  <c r="B3519" i="1"/>
  <c r="A3520" i="1"/>
  <c r="B3520" i="1"/>
  <c r="A3521" i="1"/>
  <c r="B3521" i="1"/>
  <c r="A3522" i="1"/>
  <c r="B3522" i="1"/>
  <c r="A3523" i="1"/>
  <c r="A3524" i="1"/>
  <c r="A3525" i="1"/>
  <c r="A3526" i="1"/>
  <c r="A3527" i="1"/>
  <c r="A3528" i="1"/>
  <c r="A3529" i="1"/>
  <c r="A3530" i="1"/>
  <c r="A3531" i="1"/>
  <c r="A3532" i="1"/>
  <c r="B3532" i="1"/>
  <c r="A3533" i="1"/>
  <c r="B3533" i="1"/>
  <c r="A3534" i="1"/>
  <c r="B3534" i="1"/>
  <c r="A3535" i="1"/>
  <c r="B3535" i="1"/>
  <c r="A3536" i="1"/>
  <c r="A3537" i="1"/>
  <c r="B3537" i="1"/>
  <c r="A3538" i="1"/>
  <c r="B3538" i="1"/>
  <c r="A3539" i="1"/>
  <c r="B3539" i="1"/>
  <c r="A3540" i="1"/>
  <c r="A3541" i="1"/>
  <c r="B3541" i="1"/>
  <c r="A3542" i="1"/>
  <c r="B3542" i="1"/>
  <c r="A3543" i="1"/>
  <c r="B3543" i="1"/>
  <c r="A3544" i="1"/>
  <c r="B3544" i="1"/>
  <c r="A3545" i="1"/>
  <c r="B3545" i="1"/>
  <c r="A3546" i="1"/>
  <c r="B3546" i="1"/>
  <c r="A3547" i="1"/>
  <c r="B3547" i="1"/>
  <c r="A3548" i="1"/>
  <c r="B3548" i="1"/>
  <c r="A3549" i="1"/>
  <c r="B3549" i="1"/>
  <c r="A3550" i="1"/>
  <c r="B3550" i="1"/>
  <c r="A3551" i="1"/>
  <c r="B3551" i="1"/>
  <c r="A3552" i="1"/>
  <c r="B3552" i="1"/>
  <c r="A3553" i="1"/>
  <c r="B3553" i="1"/>
  <c r="A3554" i="1"/>
  <c r="A3555" i="1"/>
  <c r="B3555" i="1"/>
  <c r="A3556" i="1"/>
  <c r="B3556" i="1"/>
  <c r="A3557" i="1"/>
  <c r="B3557" i="1"/>
  <c r="A3558" i="1"/>
  <c r="A3559" i="1"/>
  <c r="B3559" i="1"/>
  <c r="A3560" i="1"/>
  <c r="B3560" i="1"/>
  <c r="A3561" i="1"/>
  <c r="B3561" i="1"/>
  <c r="A3562" i="1"/>
  <c r="B3562" i="1"/>
  <c r="A3563" i="1"/>
  <c r="B3563" i="1"/>
  <c r="A3564" i="1"/>
  <c r="B3564" i="1"/>
  <c r="A3565" i="1"/>
  <c r="A3566" i="1"/>
  <c r="B3566" i="1"/>
  <c r="A3567" i="1"/>
  <c r="B3567" i="1"/>
  <c r="A3568" i="1"/>
  <c r="A3569" i="1"/>
  <c r="B3569" i="1"/>
  <c r="A3570" i="1"/>
  <c r="B3570" i="1"/>
  <c r="A3571" i="1"/>
  <c r="B3571" i="1"/>
  <c r="A3572" i="1"/>
  <c r="B3572" i="1"/>
  <c r="A3573" i="1"/>
  <c r="B3573" i="1"/>
  <c r="A3574" i="1"/>
  <c r="A3575" i="1"/>
  <c r="A3576" i="1"/>
  <c r="B3576" i="1"/>
  <c r="A3577" i="1"/>
  <c r="B3577" i="1"/>
  <c r="A3578" i="1"/>
  <c r="B3578" i="1"/>
  <c r="A3579" i="1"/>
  <c r="B3579" i="1"/>
  <c r="A3580" i="1"/>
  <c r="B3580" i="1"/>
  <c r="A3581" i="1"/>
  <c r="B3581" i="1"/>
  <c r="A3582" i="1"/>
  <c r="B3582" i="1"/>
  <c r="A3583" i="1"/>
  <c r="B3583" i="1"/>
  <c r="A3584" i="1"/>
  <c r="B3584" i="1"/>
  <c r="A3585" i="1"/>
  <c r="B3585" i="1"/>
  <c r="A3586" i="1"/>
  <c r="B3586" i="1"/>
  <c r="A3587" i="1"/>
  <c r="B3587" i="1"/>
  <c r="A3588" i="1"/>
  <c r="B3588" i="1"/>
  <c r="A3589" i="1"/>
  <c r="B3589" i="1"/>
  <c r="A3590" i="1"/>
  <c r="A3591" i="1"/>
  <c r="B3591" i="1"/>
  <c r="A3592" i="1"/>
  <c r="B3592" i="1"/>
  <c r="A3593" i="1"/>
  <c r="B3593" i="1"/>
  <c r="A3594" i="1"/>
  <c r="B3594" i="1"/>
  <c r="A3595" i="1"/>
  <c r="A3596" i="1"/>
  <c r="A3597" i="1"/>
  <c r="B3597" i="1"/>
  <c r="A3598" i="1"/>
  <c r="B3598" i="1"/>
  <c r="A3599" i="1"/>
  <c r="B3599" i="1"/>
  <c r="A3600" i="1"/>
  <c r="B3600" i="1"/>
  <c r="A3601" i="1"/>
  <c r="B3601" i="1"/>
  <c r="A3602" i="1"/>
  <c r="B3602" i="1"/>
  <c r="A3603" i="1"/>
  <c r="B3603" i="1"/>
  <c r="A3604" i="1"/>
  <c r="A3605" i="1"/>
  <c r="A3606" i="1"/>
  <c r="B3606" i="1"/>
  <c r="A3607" i="1"/>
  <c r="A3608" i="1"/>
  <c r="A3609" i="1"/>
  <c r="A3610" i="1"/>
  <c r="B3610" i="1"/>
  <c r="A3611" i="1"/>
  <c r="A3612" i="1"/>
  <c r="A3613" i="1"/>
  <c r="A3614" i="1"/>
  <c r="A3615" i="1"/>
  <c r="B3615" i="1"/>
  <c r="A3616" i="1"/>
  <c r="B3616" i="1"/>
  <c r="A3617" i="1"/>
  <c r="B3617" i="1"/>
  <c r="A3618" i="1"/>
  <c r="A3619" i="1"/>
  <c r="A3620" i="1"/>
  <c r="A3621" i="1"/>
  <c r="B3621" i="1"/>
  <c r="A3622" i="1"/>
  <c r="B3622" i="1"/>
  <c r="A3623" i="1"/>
  <c r="B3623" i="1"/>
  <c r="A3624" i="1"/>
  <c r="B3624" i="1"/>
  <c r="A3625" i="1"/>
  <c r="B3625" i="1"/>
  <c r="A3626" i="1"/>
  <c r="B3626" i="1"/>
  <c r="A3627" i="1"/>
  <c r="B3627" i="1"/>
  <c r="A3628" i="1"/>
  <c r="B3628" i="1"/>
  <c r="A3629" i="1"/>
  <c r="B3629" i="1"/>
  <c r="A3630" i="1"/>
  <c r="B3630" i="1"/>
  <c r="A3631" i="1"/>
  <c r="B3631" i="1"/>
  <c r="A3632" i="1"/>
  <c r="B3632" i="1"/>
  <c r="A3633" i="1"/>
  <c r="B3633" i="1"/>
  <c r="A3634" i="1"/>
  <c r="B3634" i="1"/>
  <c r="A3635" i="1"/>
  <c r="B3635" i="1"/>
  <c r="A3636" i="1"/>
  <c r="B3636" i="1"/>
  <c r="A3637" i="1"/>
  <c r="B3637" i="1"/>
  <c r="A3638" i="1"/>
  <c r="A3639" i="1"/>
  <c r="B3639" i="1"/>
  <c r="A3640" i="1"/>
  <c r="A3641" i="1"/>
  <c r="A3642" i="1"/>
  <c r="B3642" i="1"/>
  <c r="A3643" i="1"/>
  <c r="B3643" i="1"/>
  <c r="A3644" i="1"/>
  <c r="B3644" i="1"/>
  <c r="A3645" i="1"/>
  <c r="B3645" i="1"/>
  <c r="A3646" i="1"/>
  <c r="A3647" i="1"/>
  <c r="B3647" i="1"/>
  <c r="A3648" i="1"/>
  <c r="B3648" i="1"/>
  <c r="A3649" i="1"/>
  <c r="B3649" i="1"/>
  <c r="A3650" i="1"/>
  <c r="B3650" i="1"/>
  <c r="A3651" i="1"/>
  <c r="B3651" i="1"/>
  <c r="A3652" i="1"/>
  <c r="B3652" i="1"/>
  <c r="A3653" i="1"/>
  <c r="B3653" i="1"/>
  <c r="A3654" i="1"/>
  <c r="A3655" i="1"/>
  <c r="B3655" i="1"/>
  <c r="A3656" i="1"/>
  <c r="B3656" i="1"/>
  <c r="A3657" i="1"/>
  <c r="A3658" i="1"/>
  <c r="B3658" i="1"/>
  <c r="A3659" i="1"/>
  <c r="A3660" i="1"/>
  <c r="B3660" i="1"/>
  <c r="A3661" i="1"/>
  <c r="A3662" i="1"/>
  <c r="B3662" i="1"/>
  <c r="A3663" i="1"/>
  <c r="B3663" i="1"/>
  <c r="A3664" i="1"/>
  <c r="B3664" i="1"/>
  <c r="A3665" i="1"/>
  <c r="B3665" i="1"/>
  <c r="A3666" i="1"/>
  <c r="B3666" i="1"/>
  <c r="A3667" i="1"/>
  <c r="B3667" i="1"/>
  <c r="A3668" i="1"/>
  <c r="B3668" i="1"/>
  <c r="A3669" i="1"/>
  <c r="A3670" i="1"/>
  <c r="B3670" i="1"/>
  <c r="A3671" i="1"/>
  <c r="B3671" i="1"/>
  <c r="A3672" i="1"/>
  <c r="A3673" i="1"/>
  <c r="A3674" i="1"/>
  <c r="B3674" i="1"/>
  <c r="A3675" i="1"/>
  <c r="B3675" i="1"/>
  <c r="A3676" i="1"/>
  <c r="B3676" i="1"/>
  <c r="A3677" i="1"/>
  <c r="B3677" i="1"/>
  <c r="A3678" i="1"/>
  <c r="B3678" i="1"/>
  <c r="A3679" i="1"/>
  <c r="B3679" i="1"/>
  <c r="A3680" i="1"/>
  <c r="B3680" i="1"/>
  <c r="A3681" i="1"/>
  <c r="B3681" i="1"/>
  <c r="A3682" i="1"/>
  <c r="B3682" i="1"/>
  <c r="A3683" i="1"/>
  <c r="B3683" i="1"/>
  <c r="A3684" i="1"/>
  <c r="B3684" i="1"/>
  <c r="A3685" i="1"/>
  <c r="B3685" i="1"/>
  <c r="A3686" i="1"/>
  <c r="B3686" i="1"/>
  <c r="A3687" i="1"/>
  <c r="B3687" i="1"/>
  <c r="A3688" i="1"/>
  <c r="B3688" i="1"/>
  <c r="A3689" i="1"/>
  <c r="B3689" i="1"/>
  <c r="A3690" i="1"/>
  <c r="B3690" i="1"/>
  <c r="A3691" i="1"/>
  <c r="B3691" i="1"/>
  <c r="A3692" i="1"/>
  <c r="B3692" i="1"/>
  <c r="A3693" i="1"/>
  <c r="B3693" i="1"/>
  <c r="A3694" i="1"/>
  <c r="B3694" i="1"/>
  <c r="A3695" i="1"/>
  <c r="B3695" i="1"/>
  <c r="A3696" i="1"/>
  <c r="B3696" i="1"/>
  <c r="A3697" i="1"/>
  <c r="B3697" i="1"/>
  <c r="A3698" i="1"/>
  <c r="A3699" i="1"/>
  <c r="B3699" i="1"/>
  <c r="A3700" i="1"/>
  <c r="B3700" i="1"/>
  <c r="A3701" i="1"/>
  <c r="A3702" i="1"/>
  <c r="B3702" i="1"/>
  <c r="A3703" i="1"/>
  <c r="B3703" i="1"/>
  <c r="A3704" i="1"/>
  <c r="B3704" i="1"/>
  <c r="A3705" i="1"/>
  <c r="B3705" i="1"/>
  <c r="A3706" i="1"/>
  <c r="B3706" i="1"/>
  <c r="A3707" i="1"/>
  <c r="B3707" i="1"/>
  <c r="A3708" i="1"/>
  <c r="B3708" i="1"/>
  <c r="A3709" i="1"/>
  <c r="B3709" i="1"/>
  <c r="A3710" i="1"/>
  <c r="B3710" i="1"/>
  <c r="A3711" i="1"/>
  <c r="B3711" i="1"/>
  <c r="A3712" i="1"/>
  <c r="B3712" i="1"/>
  <c r="A3713" i="1"/>
  <c r="B3713" i="1"/>
  <c r="A3714" i="1"/>
  <c r="B3714" i="1"/>
  <c r="A3715" i="1"/>
  <c r="A3716" i="1"/>
  <c r="A3717" i="1"/>
  <c r="A3718" i="1"/>
  <c r="A3719" i="1"/>
  <c r="A3720" i="1"/>
  <c r="B3720" i="1"/>
  <c r="A3721" i="1"/>
  <c r="B3721" i="1"/>
  <c r="A3722" i="1"/>
  <c r="B3722" i="1"/>
  <c r="A3723" i="1"/>
  <c r="B3723" i="1"/>
  <c r="A3724" i="1"/>
  <c r="A3725" i="1"/>
  <c r="B3725" i="1"/>
  <c r="A3726" i="1"/>
  <c r="B3726" i="1"/>
  <c r="A3727" i="1"/>
  <c r="B3727" i="1"/>
  <c r="A3728" i="1"/>
  <c r="B3728" i="1"/>
  <c r="A3729" i="1"/>
  <c r="B3729" i="1"/>
  <c r="A3730" i="1"/>
  <c r="A3731" i="1"/>
  <c r="A3732" i="1"/>
  <c r="B3732" i="1"/>
  <c r="A3733" i="1"/>
  <c r="B3733" i="1"/>
  <c r="A3734" i="1"/>
  <c r="A3735" i="1"/>
  <c r="A3736" i="1"/>
  <c r="A3737" i="1"/>
  <c r="B3737" i="1"/>
  <c r="A3738" i="1"/>
  <c r="B3738" i="1"/>
  <c r="A3739" i="1"/>
  <c r="A3740" i="1"/>
  <c r="B3740" i="1"/>
  <c r="A3741" i="1"/>
  <c r="B3741" i="1"/>
  <c r="A3742" i="1"/>
  <c r="B3742" i="1"/>
  <c r="A3743" i="1"/>
  <c r="B3743" i="1"/>
  <c r="A3744" i="1"/>
  <c r="A3745" i="1"/>
  <c r="B3745" i="1"/>
  <c r="A3746" i="1"/>
  <c r="B3746" i="1"/>
  <c r="A3747" i="1"/>
  <c r="B3747" i="1"/>
  <c r="A3748" i="1"/>
  <c r="B3748" i="1"/>
  <c r="A3749" i="1"/>
  <c r="B3749" i="1"/>
  <c r="A3750" i="1"/>
  <c r="A3751" i="1"/>
  <c r="A3752" i="1"/>
  <c r="B3752" i="1"/>
  <c r="A3753" i="1"/>
  <c r="B3753" i="1"/>
  <c r="A3754" i="1"/>
  <c r="B3754" i="1"/>
  <c r="A3755" i="1"/>
  <c r="B3755" i="1"/>
  <c r="A3756" i="1"/>
  <c r="B3756" i="1"/>
  <c r="A3757" i="1"/>
  <c r="B3757" i="1"/>
  <c r="A3758" i="1"/>
  <c r="B3758" i="1"/>
  <c r="A3759" i="1"/>
  <c r="A3760" i="1"/>
  <c r="B3760" i="1"/>
  <c r="A3761" i="1"/>
  <c r="B3761" i="1"/>
  <c r="A3762" i="1"/>
  <c r="B3762" i="1"/>
  <c r="A3763" i="1"/>
  <c r="B3763" i="1"/>
  <c r="A3764" i="1"/>
  <c r="B3764" i="1"/>
  <c r="A3765" i="1"/>
  <c r="B3765" i="1"/>
  <c r="A3766" i="1"/>
  <c r="B3766" i="1"/>
  <c r="A3767" i="1"/>
  <c r="B3767" i="1"/>
  <c r="A3768" i="1"/>
  <c r="B3768" i="1"/>
  <c r="A3769" i="1"/>
  <c r="B3769" i="1"/>
  <c r="A3770" i="1"/>
  <c r="B3770" i="1"/>
  <c r="A3771" i="1"/>
  <c r="A3772" i="1"/>
  <c r="B3772" i="1"/>
  <c r="A3773" i="1"/>
  <c r="A3774" i="1"/>
  <c r="A3775" i="1"/>
  <c r="B3775" i="1"/>
  <c r="A3776" i="1"/>
  <c r="B3776" i="1"/>
  <c r="A3777" i="1"/>
  <c r="A3778" i="1"/>
  <c r="A3779" i="1"/>
  <c r="B3779" i="1"/>
  <c r="A3780" i="1"/>
  <c r="B3780" i="1"/>
  <c r="A3781" i="1"/>
  <c r="B3781" i="1"/>
  <c r="A3782" i="1"/>
  <c r="B3782" i="1"/>
  <c r="A3783" i="1"/>
  <c r="B3783" i="1"/>
  <c r="A3784" i="1"/>
  <c r="B3784" i="1"/>
  <c r="A3785" i="1"/>
  <c r="B3785" i="1"/>
  <c r="A3786" i="1"/>
  <c r="B3786" i="1"/>
  <c r="A3787" i="1"/>
  <c r="A3788" i="1"/>
  <c r="B3788" i="1"/>
  <c r="A3789" i="1"/>
  <c r="B3789" i="1"/>
  <c r="A3790" i="1"/>
  <c r="B3790" i="1"/>
  <c r="A3791" i="1"/>
  <c r="A3792" i="1"/>
  <c r="B3792" i="1"/>
  <c r="A3793" i="1"/>
  <c r="B3793" i="1"/>
  <c r="A3794" i="1"/>
  <c r="B3794" i="1"/>
  <c r="A3795" i="1"/>
  <c r="B3795" i="1"/>
  <c r="A3796" i="1"/>
  <c r="B3796" i="1"/>
  <c r="A3797" i="1"/>
  <c r="B3797" i="1"/>
  <c r="A3798" i="1"/>
  <c r="B3798" i="1"/>
  <c r="A3799" i="1"/>
  <c r="B3799" i="1"/>
  <c r="A3800" i="1"/>
  <c r="B3800" i="1"/>
  <c r="A3801" i="1"/>
  <c r="B3801" i="1"/>
  <c r="A3802" i="1"/>
  <c r="B3802" i="1"/>
  <c r="A3803" i="1"/>
  <c r="B3803" i="1"/>
  <c r="A3804" i="1"/>
  <c r="A3805" i="1"/>
  <c r="A3806" i="1"/>
  <c r="B3806" i="1"/>
  <c r="A3807" i="1"/>
  <c r="B3807" i="1"/>
  <c r="A3808" i="1"/>
  <c r="A3809" i="1"/>
  <c r="B3809" i="1"/>
  <c r="A3810" i="1"/>
  <c r="B3810" i="1"/>
  <c r="A3811" i="1"/>
  <c r="A3812" i="1"/>
  <c r="B3812" i="1"/>
  <c r="A3813" i="1"/>
  <c r="A3814" i="1"/>
  <c r="A3815" i="1"/>
  <c r="A3816" i="1"/>
  <c r="A3817" i="1"/>
  <c r="B3817" i="1"/>
  <c r="A3818" i="1"/>
  <c r="B3818" i="1"/>
  <c r="A3819" i="1"/>
  <c r="A3820" i="1"/>
  <c r="A3821" i="1"/>
  <c r="A3822" i="1"/>
  <c r="B3822" i="1"/>
  <c r="A3823" i="1"/>
  <c r="A3824" i="1"/>
  <c r="A3825" i="1"/>
  <c r="A3826" i="1"/>
  <c r="B3826" i="1"/>
  <c r="A3827" i="1"/>
  <c r="B3827" i="1"/>
  <c r="A3828" i="1"/>
  <c r="A3829" i="1"/>
  <c r="B3829" i="1"/>
  <c r="A3830" i="1"/>
  <c r="A3831" i="1"/>
  <c r="B3831" i="1"/>
  <c r="A3832" i="1"/>
  <c r="A3833" i="1"/>
  <c r="A3834" i="1"/>
  <c r="A3835" i="1"/>
  <c r="B3835" i="1"/>
  <c r="A3836" i="1"/>
  <c r="A3837" i="1"/>
  <c r="B3837" i="1"/>
  <c r="A3838" i="1"/>
  <c r="A3839" i="1"/>
  <c r="B3839" i="1"/>
  <c r="A3840" i="1"/>
  <c r="A3841" i="1"/>
  <c r="B3841" i="1"/>
  <c r="A3842" i="1"/>
  <c r="B3842" i="1"/>
  <c r="A3843" i="1"/>
  <c r="B3843" i="1"/>
  <c r="A3844" i="1"/>
  <c r="A3845" i="1"/>
  <c r="A3846" i="1"/>
  <c r="B3846" i="1"/>
  <c r="A3847" i="1"/>
  <c r="A3848" i="1"/>
  <c r="B3848" i="1"/>
  <c r="A3849" i="1"/>
  <c r="A3850" i="1"/>
  <c r="A3851" i="1"/>
  <c r="B3851" i="1"/>
  <c r="A3852" i="1"/>
  <c r="B3852" i="1"/>
  <c r="A3853" i="1"/>
  <c r="B3853" i="1"/>
  <c r="A3854" i="1"/>
  <c r="A3855" i="1"/>
  <c r="B3855" i="1"/>
  <c r="A3856" i="1"/>
  <c r="B3856" i="1"/>
  <c r="A3857" i="1"/>
  <c r="B3857" i="1"/>
  <c r="A3858" i="1"/>
  <c r="B3858" i="1"/>
  <c r="A3859" i="1"/>
  <c r="B3859" i="1"/>
  <c r="A3860" i="1"/>
  <c r="B3860" i="1"/>
  <c r="A3861" i="1"/>
  <c r="B3861" i="1"/>
  <c r="A3862" i="1"/>
  <c r="B3862" i="1"/>
  <c r="A3863" i="1"/>
  <c r="B3863" i="1"/>
  <c r="A3864" i="1"/>
  <c r="B3864" i="1"/>
  <c r="A3865" i="1"/>
  <c r="A3866" i="1"/>
  <c r="A3867" i="1"/>
  <c r="B3867" i="1"/>
  <c r="A3868" i="1"/>
  <c r="B3868" i="1"/>
  <c r="A3869" i="1"/>
  <c r="B3869" i="1"/>
  <c r="A3870" i="1"/>
  <c r="B3870" i="1"/>
  <c r="A3871" i="1"/>
  <c r="B3871" i="1"/>
  <c r="A3872" i="1"/>
  <c r="B3872" i="1"/>
  <c r="A3873" i="1"/>
  <c r="B3873" i="1"/>
  <c r="A3874" i="1"/>
  <c r="B3874" i="1"/>
  <c r="A3875" i="1"/>
  <c r="B3875" i="1"/>
  <c r="A3876" i="1"/>
  <c r="B3876" i="1"/>
  <c r="A3877" i="1"/>
  <c r="B3877" i="1"/>
  <c r="A3878" i="1"/>
  <c r="B3878" i="1"/>
  <c r="A3879" i="1"/>
  <c r="A3880" i="1"/>
  <c r="B3880" i="1"/>
  <c r="A3881" i="1"/>
  <c r="B3881" i="1"/>
  <c r="A3882" i="1"/>
  <c r="B3882" i="1"/>
  <c r="A3883" i="1"/>
  <c r="B3883" i="1"/>
  <c r="A3884" i="1"/>
  <c r="B3884" i="1"/>
  <c r="A3885" i="1"/>
  <c r="B3885" i="1"/>
  <c r="A3886" i="1"/>
  <c r="A3887" i="1"/>
  <c r="A3888" i="1"/>
  <c r="A3889" i="1"/>
  <c r="B3889" i="1"/>
  <c r="A3890" i="1"/>
  <c r="B3890" i="1"/>
  <c r="A3891" i="1"/>
  <c r="B3891" i="1"/>
  <c r="A3892" i="1"/>
  <c r="A3893" i="1"/>
  <c r="A3894" i="1"/>
  <c r="B3894" i="1"/>
  <c r="A3895" i="1"/>
  <c r="B3895" i="1"/>
  <c r="A3896" i="1"/>
  <c r="A3897" i="1"/>
  <c r="A3898" i="1"/>
  <c r="B3898" i="1"/>
  <c r="A3899" i="1"/>
  <c r="B3899" i="1"/>
  <c r="A3900" i="1"/>
  <c r="B3900" i="1"/>
  <c r="A3901" i="1"/>
  <c r="B3901" i="1"/>
  <c r="A3902" i="1"/>
  <c r="B3902" i="1"/>
  <c r="A3903" i="1"/>
  <c r="B3903" i="1"/>
  <c r="A3904" i="1"/>
  <c r="A3905" i="1"/>
  <c r="A3906" i="1"/>
  <c r="B3906" i="1"/>
  <c r="A3907" i="1"/>
  <c r="B3907" i="1"/>
  <c r="A3908" i="1"/>
  <c r="B3908" i="1"/>
  <c r="A3909" i="1"/>
  <c r="B3909" i="1"/>
  <c r="A3910" i="1"/>
  <c r="B3910" i="1"/>
  <c r="A3911" i="1"/>
  <c r="A3912" i="1"/>
  <c r="B3912" i="1"/>
  <c r="A3913" i="1"/>
  <c r="B3913" i="1"/>
  <c r="A3914" i="1"/>
  <c r="A3915" i="1"/>
  <c r="B3915" i="1"/>
  <c r="A3916" i="1"/>
  <c r="B3916" i="1"/>
  <c r="A3917" i="1"/>
  <c r="B3917" i="1"/>
  <c r="A3918" i="1"/>
  <c r="B3918" i="1"/>
  <c r="A3919" i="1"/>
  <c r="B3919" i="1"/>
  <c r="A3920" i="1"/>
  <c r="B3920" i="1"/>
  <c r="A3921" i="1"/>
  <c r="B3921" i="1"/>
  <c r="A3922" i="1"/>
  <c r="B3922" i="1"/>
  <c r="A3923" i="1"/>
  <c r="B3923" i="1"/>
  <c r="A3924" i="1"/>
  <c r="B3924" i="1"/>
  <c r="A3925" i="1"/>
  <c r="B3925" i="1"/>
  <c r="A3926" i="1"/>
  <c r="B3926" i="1"/>
  <c r="A3927" i="1"/>
  <c r="B3927" i="1"/>
  <c r="A3928" i="1"/>
  <c r="B3928" i="1"/>
  <c r="A3929" i="1"/>
  <c r="B3929" i="1"/>
  <c r="A3930" i="1"/>
  <c r="B3930" i="1"/>
  <c r="A3931" i="1"/>
  <c r="B3931" i="1"/>
  <c r="A3932" i="1"/>
  <c r="B3932" i="1"/>
  <c r="A3933" i="1"/>
  <c r="B3933" i="1"/>
  <c r="A3934" i="1"/>
  <c r="B3934" i="1"/>
  <c r="A3935" i="1"/>
  <c r="B3935" i="1"/>
  <c r="A3936" i="1"/>
  <c r="A3937" i="1"/>
  <c r="A3938" i="1"/>
  <c r="A3939" i="1"/>
  <c r="A3940" i="1"/>
  <c r="A3941" i="1"/>
  <c r="A3942" i="1"/>
  <c r="A3943" i="1"/>
  <c r="A3944" i="1"/>
  <c r="A3945" i="1"/>
  <c r="B3945" i="1"/>
  <c r="A3946" i="1"/>
  <c r="B3946" i="1"/>
  <c r="A3947" i="1"/>
  <c r="B3947" i="1"/>
  <c r="A3948" i="1"/>
  <c r="B3948" i="1"/>
  <c r="A3949" i="1"/>
  <c r="B3949" i="1"/>
  <c r="A3950" i="1"/>
  <c r="B3950" i="1"/>
  <c r="A3951" i="1"/>
  <c r="B3951" i="1"/>
  <c r="A3952" i="1"/>
  <c r="B3952" i="1"/>
  <c r="A3953" i="1"/>
  <c r="B3953" i="1"/>
  <c r="A3954" i="1"/>
  <c r="B3954" i="1"/>
  <c r="A3955" i="1"/>
  <c r="B3955" i="1"/>
  <c r="A3956" i="1"/>
  <c r="B3956" i="1"/>
  <c r="A3957" i="1"/>
  <c r="B3957" i="1"/>
  <c r="A3958" i="1"/>
  <c r="B3958" i="1"/>
  <c r="A3959" i="1"/>
  <c r="B3959" i="1"/>
  <c r="A3960" i="1"/>
  <c r="B3960" i="1"/>
  <c r="A3961" i="1"/>
  <c r="A3962" i="1"/>
  <c r="B3962" i="1"/>
  <c r="A3963" i="1"/>
  <c r="A3964" i="1"/>
  <c r="B3964" i="1"/>
  <c r="A3965" i="1"/>
  <c r="B3965" i="1"/>
  <c r="A3966" i="1"/>
  <c r="B3966" i="1"/>
  <c r="A3967" i="1"/>
  <c r="B3967" i="1"/>
  <c r="A3968" i="1"/>
  <c r="B3968" i="1"/>
  <c r="A3969" i="1"/>
  <c r="B3969" i="1"/>
  <c r="A3970" i="1"/>
  <c r="B3970" i="1"/>
  <c r="A3971" i="1"/>
  <c r="B3971" i="1"/>
  <c r="A3972" i="1"/>
  <c r="B3972" i="1"/>
  <c r="A3973" i="1"/>
  <c r="B3973" i="1"/>
  <c r="A3974" i="1"/>
  <c r="B3974" i="1"/>
  <c r="A3975" i="1"/>
  <c r="A3976" i="1"/>
  <c r="B3976" i="1"/>
  <c r="A3977" i="1"/>
  <c r="B3977" i="1"/>
  <c r="A3978" i="1"/>
  <c r="B3978" i="1"/>
  <c r="A3979" i="1"/>
  <c r="B3979" i="1"/>
  <c r="A3980" i="1"/>
  <c r="B3980" i="1"/>
  <c r="A3981" i="1"/>
  <c r="B3981" i="1"/>
  <c r="A3982" i="1"/>
  <c r="B3982" i="1"/>
  <c r="A3983" i="1"/>
  <c r="B3983" i="1"/>
  <c r="A3984" i="1"/>
  <c r="B3984" i="1"/>
  <c r="A3985" i="1"/>
  <c r="B3985" i="1"/>
  <c r="A3986" i="1"/>
  <c r="B3986" i="1"/>
  <c r="A3987" i="1"/>
  <c r="B3987" i="1"/>
  <c r="A3988" i="1"/>
  <c r="B3988" i="1"/>
  <c r="A3989" i="1"/>
  <c r="A3990" i="1"/>
  <c r="B3990" i="1"/>
  <c r="A3991" i="1"/>
  <c r="A3992" i="1"/>
  <c r="B3992" i="1"/>
  <c r="A3993" i="1"/>
  <c r="A3994" i="1"/>
  <c r="B3994" i="1"/>
  <c r="A3995" i="1"/>
  <c r="B3995" i="1"/>
  <c r="A3996" i="1"/>
  <c r="B3996" i="1"/>
  <c r="A3997" i="1"/>
  <c r="B3997" i="1"/>
  <c r="A3998" i="1"/>
  <c r="A3999" i="1"/>
  <c r="B3999" i="1"/>
  <c r="A4000" i="1"/>
  <c r="B4000" i="1"/>
  <c r="A4001" i="1"/>
  <c r="B4001" i="1"/>
  <c r="A4002" i="1"/>
  <c r="B4002" i="1"/>
  <c r="A4003" i="1"/>
  <c r="B4003" i="1"/>
  <c r="A4004" i="1"/>
  <c r="B4004" i="1"/>
  <c r="A4005" i="1"/>
  <c r="B4005" i="1"/>
  <c r="A4006" i="1"/>
  <c r="B4006" i="1"/>
  <c r="A4007" i="1"/>
  <c r="B4007" i="1"/>
  <c r="A4008" i="1"/>
  <c r="B4008" i="1"/>
  <c r="A4009" i="1"/>
  <c r="B4009" i="1"/>
  <c r="A4010" i="1"/>
  <c r="B4010" i="1"/>
  <c r="A4011" i="1"/>
  <c r="B4011" i="1"/>
  <c r="A4012" i="1"/>
  <c r="B4012" i="1"/>
  <c r="A4013" i="1"/>
  <c r="B4013" i="1"/>
  <c r="A4014" i="1"/>
  <c r="B4014" i="1"/>
  <c r="A4015" i="1"/>
  <c r="B4015" i="1"/>
  <c r="A4016" i="1"/>
  <c r="B4016" i="1"/>
  <c r="A4017" i="1"/>
  <c r="B4017" i="1"/>
  <c r="A4018" i="1"/>
  <c r="B4018" i="1"/>
  <c r="A4019" i="1"/>
  <c r="B4019" i="1"/>
  <c r="A4020" i="1"/>
  <c r="B4020" i="1"/>
  <c r="A4021" i="1"/>
  <c r="B4021" i="1"/>
  <c r="A4022" i="1"/>
  <c r="B4022" i="1"/>
  <c r="A4023" i="1"/>
  <c r="A4024" i="1"/>
  <c r="B4024" i="1"/>
  <c r="A4025" i="1"/>
  <c r="B4025" i="1"/>
  <c r="A4026" i="1"/>
  <c r="B4026" i="1"/>
  <c r="A4027" i="1"/>
  <c r="A4028" i="1"/>
  <c r="A4029" i="1"/>
  <c r="B4029" i="1"/>
  <c r="A4030" i="1"/>
  <c r="B4030" i="1"/>
  <c r="A4031" i="1"/>
  <c r="B4031" i="1"/>
  <c r="A4032" i="1"/>
  <c r="B4032" i="1"/>
  <c r="A4033" i="1"/>
  <c r="B4033" i="1"/>
  <c r="A4034" i="1"/>
  <c r="A4035" i="1"/>
  <c r="B4035" i="1"/>
  <c r="A4036" i="1"/>
  <c r="B4036" i="1"/>
  <c r="A4037" i="1"/>
  <c r="B4037" i="1"/>
  <c r="A4038" i="1"/>
  <c r="B4038" i="1"/>
  <c r="A4039" i="1"/>
  <c r="B4039" i="1"/>
  <c r="A4040" i="1"/>
  <c r="B4040" i="1"/>
  <c r="A4041" i="1"/>
  <c r="B4041" i="1"/>
  <c r="A4042" i="1"/>
  <c r="B4042" i="1"/>
  <c r="A4043" i="1"/>
  <c r="B4043" i="1"/>
  <c r="A4044" i="1"/>
  <c r="B4044" i="1"/>
  <c r="A4045" i="1"/>
  <c r="B4045" i="1"/>
  <c r="A4046" i="1"/>
  <c r="B4046" i="1"/>
  <c r="A4047" i="1"/>
  <c r="B4047" i="1"/>
  <c r="A4048" i="1"/>
  <c r="B4048" i="1"/>
  <c r="A4049" i="1"/>
  <c r="B4049" i="1"/>
  <c r="A4050" i="1"/>
  <c r="B4050" i="1"/>
  <c r="A4051" i="1"/>
  <c r="B4051" i="1"/>
  <c r="A4052" i="1"/>
  <c r="B4052" i="1"/>
  <c r="A4053" i="1"/>
  <c r="B4053" i="1"/>
  <c r="A4054" i="1"/>
  <c r="B4054" i="1"/>
  <c r="A4055" i="1"/>
  <c r="B4055" i="1"/>
  <c r="A4056" i="1"/>
  <c r="B4056" i="1"/>
  <c r="A4057" i="1"/>
  <c r="B4057" i="1"/>
  <c r="A4058" i="1"/>
  <c r="B4058" i="1"/>
  <c r="A4059" i="1"/>
  <c r="B4059" i="1"/>
  <c r="A4060" i="1"/>
  <c r="A4061" i="1"/>
  <c r="B4061" i="1"/>
  <c r="A4062" i="1"/>
  <c r="B4062" i="1"/>
  <c r="A4063" i="1"/>
  <c r="B4063" i="1"/>
  <c r="A4064" i="1"/>
  <c r="B4064" i="1"/>
  <c r="A4065" i="1"/>
  <c r="B4065" i="1"/>
  <c r="A4066" i="1"/>
  <c r="B4066" i="1"/>
  <c r="A4067" i="1"/>
  <c r="B4067" i="1"/>
  <c r="A4068" i="1"/>
  <c r="B4068" i="1"/>
  <c r="A4069" i="1"/>
  <c r="B4069" i="1"/>
  <c r="A4070" i="1"/>
  <c r="B4070" i="1"/>
  <c r="A4071" i="1"/>
  <c r="B4071" i="1"/>
  <c r="A4072" i="1"/>
  <c r="B4072" i="1"/>
  <c r="A4073" i="1"/>
  <c r="B4073" i="1"/>
  <c r="A4074" i="1"/>
  <c r="B4074" i="1"/>
  <c r="A4075" i="1"/>
  <c r="B4075" i="1"/>
  <c r="A4076" i="1"/>
  <c r="B4076" i="1"/>
  <c r="A4077" i="1"/>
  <c r="B4077" i="1"/>
  <c r="A4078" i="1"/>
  <c r="B4078" i="1"/>
  <c r="A4079" i="1"/>
  <c r="A4080" i="1"/>
  <c r="B4080" i="1"/>
  <c r="A4081" i="1"/>
  <c r="B4081" i="1"/>
  <c r="A4082" i="1"/>
  <c r="B4082" i="1"/>
  <c r="A4083" i="1"/>
  <c r="B4083" i="1"/>
  <c r="A4084" i="1"/>
  <c r="B4084" i="1"/>
  <c r="A4085" i="1"/>
  <c r="B4085" i="1"/>
  <c r="A4086" i="1"/>
  <c r="B4086" i="1"/>
  <c r="A4087" i="1"/>
  <c r="B4087" i="1"/>
  <c r="A4088" i="1"/>
  <c r="A4089" i="1"/>
  <c r="B4089" i="1"/>
  <c r="A4090" i="1"/>
  <c r="B4090" i="1"/>
  <c r="A4091" i="1"/>
  <c r="B4091" i="1"/>
  <c r="A4092" i="1"/>
  <c r="B4092" i="1"/>
  <c r="A4093" i="1"/>
  <c r="B4093" i="1"/>
  <c r="A4094" i="1"/>
  <c r="B4094" i="1"/>
  <c r="A4095" i="1"/>
  <c r="B4095" i="1"/>
  <c r="A4096" i="1"/>
  <c r="B4096" i="1"/>
  <c r="A4097" i="1"/>
  <c r="B4097" i="1"/>
  <c r="A4098" i="1"/>
  <c r="B4098" i="1"/>
  <c r="A4099" i="1"/>
  <c r="B4099" i="1"/>
  <c r="A4100" i="1"/>
  <c r="B4100" i="1"/>
  <c r="A4101" i="1"/>
  <c r="B4101" i="1"/>
  <c r="A4102" i="1"/>
  <c r="B4102" i="1"/>
  <c r="A4103" i="1"/>
  <c r="B4103" i="1"/>
  <c r="A4104" i="1"/>
  <c r="B4104" i="1"/>
  <c r="A4105" i="1"/>
  <c r="A4106" i="1"/>
  <c r="A4107" i="1"/>
  <c r="B4107" i="1"/>
  <c r="A4108" i="1"/>
  <c r="B4108" i="1"/>
  <c r="A4109" i="1"/>
  <c r="B4109" i="1"/>
  <c r="A4110" i="1"/>
  <c r="B4110" i="1"/>
  <c r="A4111" i="1"/>
  <c r="B4111" i="1"/>
  <c r="A4112" i="1"/>
  <c r="B4112" i="1"/>
  <c r="A4113" i="1"/>
  <c r="B4113" i="1"/>
  <c r="A4114" i="1"/>
  <c r="B4114" i="1"/>
  <c r="A4115" i="1"/>
  <c r="B4115" i="1"/>
  <c r="A4116" i="1"/>
  <c r="B4116" i="1"/>
  <c r="A4117" i="1"/>
  <c r="B4117" i="1"/>
  <c r="A4118" i="1"/>
  <c r="A4119" i="1"/>
  <c r="A4120" i="1"/>
  <c r="B4120" i="1"/>
  <c r="A4121" i="1"/>
  <c r="B4121" i="1"/>
  <c r="A4122" i="1"/>
  <c r="B4122" i="1"/>
  <c r="A4123" i="1"/>
  <c r="B4123" i="1"/>
  <c r="A4124" i="1"/>
  <c r="B4124" i="1"/>
  <c r="A4125" i="1"/>
  <c r="B4125" i="1"/>
  <c r="A4126" i="1"/>
  <c r="B4126" i="1"/>
  <c r="A4127" i="1"/>
  <c r="B4127" i="1"/>
  <c r="A4128" i="1"/>
  <c r="A4129" i="1"/>
  <c r="A4130" i="1"/>
  <c r="B4130" i="1"/>
  <c r="A4131" i="1"/>
  <c r="B4131" i="1"/>
  <c r="A4132" i="1"/>
  <c r="B4132" i="1"/>
  <c r="A4133" i="1"/>
  <c r="B4133" i="1"/>
  <c r="A4134" i="1"/>
  <c r="B4134" i="1"/>
  <c r="A4135" i="1"/>
  <c r="B4135" i="1"/>
  <c r="A4136" i="1"/>
  <c r="B4136" i="1"/>
  <c r="A4137" i="1"/>
  <c r="B4137" i="1"/>
  <c r="A4138" i="1"/>
  <c r="A4139" i="1"/>
  <c r="B4139" i="1"/>
  <c r="A4140" i="1"/>
  <c r="B4140" i="1"/>
  <c r="A4141" i="1"/>
  <c r="B4141" i="1"/>
  <c r="A4142" i="1"/>
  <c r="B4142" i="1"/>
  <c r="A4143" i="1"/>
  <c r="B4143" i="1"/>
  <c r="A4144" i="1"/>
  <c r="B4144" i="1"/>
  <c r="A4145" i="1"/>
  <c r="B4145" i="1"/>
  <c r="A4146" i="1"/>
  <c r="B4146" i="1"/>
  <c r="A4147" i="1"/>
  <c r="B4147" i="1"/>
  <c r="A4148" i="1"/>
  <c r="A4149" i="1"/>
  <c r="B4149" i="1"/>
  <c r="A4150" i="1"/>
  <c r="B4150" i="1"/>
  <c r="A4151" i="1"/>
  <c r="B4151" i="1"/>
  <c r="A4152" i="1"/>
  <c r="A4153" i="1"/>
  <c r="B4153" i="1"/>
  <c r="A4154" i="1"/>
  <c r="B4154" i="1"/>
  <c r="A4155" i="1"/>
  <c r="A4156" i="1"/>
  <c r="B4156" i="1"/>
  <c r="A4157" i="1"/>
  <c r="A4158" i="1"/>
  <c r="A4159" i="1"/>
  <c r="B4159" i="1"/>
  <c r="A4160" i="1"/>
  <c r="B4160" i="1"/>
  <c r="A4161" i="1"/>
  <c r="B4161" i="1"/>
  <c r="A4162" i="1"/>
  <c r="B4162" i="1"/>
  <c r="A4163" i="1"/>
  <c r="B4163" i="1"/>
  <c r="A4164" i="1"/>
  <c r="B4164" i="1"/>
  <c r="A4165" i="1"/>
  <c r="B4165" i="1"/>
  <c r="A4166" i="1"/>
  <c r="B4166" i="1"/>
  <c r="A4167" i="1"/>
  <c r="B4167" i="1"/>
  <c r="A4168" i="1"/>
  <c r="B4168" i="1"/>
  <c r="A4169" i="1"/>
  <c r="B4169" i="1"/>
  <c r="A4170" i="1"/>
  <c r="A4171" i="1"/>
  <c r="B4171" i="1"/>
  <c r="A4172" i="1"/>
  <c r="B4172" i="1"/>
  <c r="A4173" i="1"/>
  <c r="B4173" i="1"/>
  <c r="A4174" i="1"/>
  <c r="A4175" i="1"/>
  <c r="B4175" i="1"/>
  <c r="A4176" i="1"/>
  <c r="B4176" i="1"/>
  <c r="A4177" i="1"/>
  <c r="A4178" i="1"/>
  <c r="B4178" i="1"/>
  <c r="A4179" i="1"/>
  <c r="B4179" i="1"/>
  <c r="A4180" i="1"/>
  <c r="B4180" i="1"/>
  <c r="A4181" i="1"/>
  <c r="A4182" i="1"/>
  <c r="A4183" i="1"/>
  <c r="A4184" i="1"/>
  <c r="B4184" i="1"/>
  <c r="A4185" i="1"/>
  <c r="B4185" i="1"/>
  <c r="A4186" i="1"/>
  <c r="A4187" i="1"/>
  <c r="A4188" i="1"/>
  <c r="A4189" i="1"/>
  <c r="B4189" i="1"/>
  <c r="A4190" i="1"/>
  <c r="B4190" i="1"/>
  <c r="A4191" i="1"/>
  <c r="B4191" i="1"/>
  <c r="A4192" i="1"/>
  <c r="B4192" i="1"/>
  <c r="A4193" i="1"/>
  <c r="B4193" i="1"/>
  <c r="A4194" i="1"/>
  <c r="A4195" i="1"/>
  <c r="B4195" i="1"/>
  <c r="A4196" i="1"/>
  <c r="B4196" i="1"/>
  <c r="A4197" i="1"/>
  <c r="B4197" i="1"/>
  <c r="A4198" i="1"/>
  <c r="B4198" i="1"/>
  <c r="A4199" i="1"/>
  <c r="B4199" i="1"/>
  <c r="A4200" i="1"/>
  <c r="B4200" i="1"/>
  <c r="A4201" i="1"/>
  <c r="B4201" i="1"/>
  <c r="A4202" i="1"/>
  <c r="A4203" i="1"/>
  <c r="B4203" i="1"/>
  <c r="A4204" i="1"/>
  <c r="B4204" i="1"/>
  <c r="A4205" i="1"/>
  <c r="B4205" i="1"/>
  <c r="A4206" i="1"/>
  <c r="A4207" i="1"/>
  <c r="B4207" i="1"/>
  <c r="A4208" i="1"/>
  <c r="B4208" i="1"/>
  <c r="A4209" i="1"/>
  <c r="B4209" i="1"/>
  <c r="A4210" i="1"/>
  <c r="A4211" i="1"/>
  <c r="A4212" i="1"/>
  <c r="A4213" i="1"/>
  <c r="B4213" i="1"/>
  <c r="A4214" i="1"/>
  <c r="B4214" i="1"/>
  <c r="A4215" i="1"/>
  <c r="B4215" i="1"/>
  <c r="A4216" i="1"/>
  <c r="B4216" i="1"/>
  <c r="A4217" i="1"/>
  <c r="B4217" i="1"/>
  <c r="A4218" i="1"/>
  <c r="B4218" i="1"/>
  <c r="A4219" i="1"/>
  <c r="A4220" i="1"/>
  <c r="B4220" i="1"/>
  <c r="A4221" i="1"/>
  <c r="B4221" i="1"/>
  <c r="A4222" i="1"/>
  <c r="B4222" i="1"/>
  <c r="A4223" i="1"/>
  <c r="B4223" i="1"/>
  <c r="A4224" i="1"/>
  <c r="A4225" i="1"/>
  <c r="B4225" i="1"/>
  <c r="A4226" i="1"/>
  <c r="B4226" i="1"/>
  <c r="A4227" i="1"/>
  <c r="B4227" i="1"/>
  <c r="A4228" i="1"/>
  <c r="B4228" i="1"/>
  <c r="A4229" i="1"/>
  <c r="B4229" i="1"/>
  <c r="A4230" i="1"/>
  <c r="B4230" i="1"/>
  <c r="A4231" i="1"/>
  <c r="B4231" i="1"/>
  <c r="A4232" i="1"/>
  <c r="B4232" i="1"/>
  <c r="A4233" i="1"/>
  <c r="B4233" i="1"/>
  <c r="A4234" i="1"/>
  <c r="B4234" i="1"/>
  <c r="A4235" i="1"/>
  <c r="B4235" i="1"/>
  <c r="A4236" i="1"/>
  <c r="B4236" i="1"/>
  <c r="A4237" i="1"/>
  <c r="B4237" i="1"/>
  <c r="A4238" i="1"/>
  <c r="B4238" i="1"/>
  <c r="A4239" i="1"/>
  <c r="A4240" i="1"/>
  <c r="B4240" i="1"/>
  <c r="A4241" i="1"/>
  <c r="A4242" i="1"/>
  <c r="A4243" i="1"/>
  <c r="A4244" i="1"/>
  <c r="B4244" i="1"/>
  <c r="A4245" i="1"/>
  <c r="A4246" i="1"/>
  <c r="B4246" i="1"/>
  <c r="A4247" i="1"/>
  <c r="B4247" i="1"/>
  <c r="A4248" i="1"/>
  <c r="B4248" i="1"/>
  <c r="A4249" i="1"/>
  <c r="B4249" i="1"/>
  <c r="A4250" i="1"/>
  <c r="B4250" i="1"/>
  <c r="A4251" i="1"/>
  <c r="B4251" i="1"/>
  <c r="A4252" i="1"/>
  <c r="B4252" i="1"/>
  <c r="A4253" i="1"/>
  <c r="B4253" i="1"/>
  <c r="A4254" i="1"/>
  <c r="B4254" i="1"/>
  <c r="A4255" i="1"/>
  <c r="B4255" i="1"/>
  <c r="A4256" i="1"/>
  <c r="B4256" i="1"/>
  <c r="A4257" i="1"/>
  <c r="B4257" i="1"/>
  <c r="A4258" i="1"/>
  <c r="B4258" i="1"/>
  <c r="A4259" i="1"/>
  <c r="B4259" i="1"/>
  <c r="A4260" i="1"/>
  <c r="B4260" i="1"/>
  <c r="A4261" i="1"/>
  <c r="B4261" i="1"/>
  <c r="A4262" i="1"/>
  <c r="B4262" i="1"/>
  <c r="A4263" i="1"/>
  <c r="B4263" i="1"/>
  <c r="A4264" i="1"/>
  <c r="A4265" i="1"/>
  <c r="B4265" i="1"/>
  <c r="A4266" i="1"/>
  <c r="B4266" i="1"/>
  <c r="A4267" i="1"/>
  <c r="B4267" i="1"/>
  <c r="A4268" i="1"/>
  <c r="B4268" i="1"/>
  <c r="A4269" i="1"/>
  <c r="B4269" i="1"/>
  <c r="A4270" i="1"/>
  <c r="B4270" i="1"/>
  <c r="A4271" i="1"/>
  <c r="B4271" i="1"/>
  <c r="A4272" i="1"/>
  <c r="B4272" i="1"/>
  <c r="A4273" i="1"/>
  <c r="B4273" i="1"/>
  <c r="A4274" i="1"/>
  <c r="B4274" i="1"/>
  <c r="A4275" i="1"/>
  <c r="B4275" i="1"/>
  <c r="A4276" i="1"/>
  <c r="B4276" i="1"/>
  <c r="A4277" i="1"/>
  <c r="B4277" i="1"/>
  <c r="A4278" i="1"/>
  <c r="B4278" i="1"/>
  <c r="A4279" i="1"/>
  <c r="A4280" i="1"/>
  <c r="B4280" i="1"/>
  <c r="A4281" i="1"/>
  <c r="B4281" i="1"/>
  <c r="A4282" i="1"/>
  <c r="B4282" i="1"/>
  <c r="A4283" i="1"/>
  <c r="B4283" i="1"/>
  <c r="A4284" i="1"/>
  <c r="B4284" i="1"/>
  <c r="A4285" i="1"/>
  <c r="B4285" i="1"/>
  <c r="A4286" i="1"/>
  <c r="B4286" i="1"/>
  <c r="A4287" i="1"/>
  <c r="B4287" i="1"/>
  <c r="A4288" i="1"/>
  <c r="A4289" i="1"/>
  <c r="B4289" i="1"/>
  <c r="A4290" i="1"/>
  <c r="B4290" i="1"/>
  <c r="A4291" i="1"/>
  <c r="B4291" i="1"/>
  <c r="A4292" i="1"/>
  <c r="B4292" i="1"/>
  <c r="A4293" i="1"/>
  <c r="B4293" i="1"/>
  <c r="A4294" i="1"/>
  <c r="A4295" i="1"/>
  <c r="B4295" i="1"/>
  <c r="A4296" i="1"/>
  <c r="B4296" i="1"/>
  <c r="A4297" i="1"/>
  <c r="B4297" i="1"/>
  <c r="A4298" i="1"/>
  <c r="B4298" i="1"/>
  <c r="A4299" i="1"/>
  <c r="B4299" i="1"/>
  <c r="A4300" i="1"/>
  <c r="B4300" i="1"/>
  <c r="A4301" i="1"/>
  <c r="B4301" i="1"/>
  <c r="A4302" i="1"/>
  <c r="B4302" i="1"/>
  <c r="A4303" i="1"/>
  <c r="B4303" i="1"/>
  <c r="A4304" i="1"/>
  <c r="B4304" i="1"/>
  <c r="A4305" i="1"/>
  <c r="B4305" i="1"/>
  <c r="A4306" i="1"/>
  <c r="B4306" i="1"/>
  <c r="A4307" i="1"/>
  <c r="B4307" i="1"/>
  <c r="A4308" i="1"/>
  <c r="B4308" i="1"/>
  <c r="A4309" i="1"/>
  <c r="B4309" i="1"/>
  <c r="A4310" i="1"/>
  <c r="B4310" i="1"/>
  <c r="A4311" i="1"/>
  <c r="B4311" i="1"/>
  <c r="A4312" i="1"/>
  <c r="B4312" i="1"/>
  <c r="A4313" i="1"/>
  <c r="B4313" i="1"/>
  <c r="A4314" i="1"/>
  <c r="B4314" i="1"/>
  <c r="A4315" i="1"/>
  <c r="B4315" i="1"/>
  <c r="A4316" i="1"/>
  <c r="B4316" i="1"/>
  <c r="A4317" i="1"/>
  <c r="B4317" i="1"/>
  <c r="A4318" i="1"/>
  <c r="B4318" i="1"/>
  <c r="A4319" i="1"/>
  <c r="B4319" i="1"/>
  <c r="A4320" i="1"/>
  <c r="B4320" i="1"/>
  <c r="A4321" i="1"/>
  <c r="B4321" i="1"/>
  <c r="A4322" i="1"/>
  <c r="B4322" i="1"/>
  <c r="A4323" i="1"/>
  <c r="B4323" i="1"/>
  <c r="A4324" i="1"/>
  <c r="B4324" i="1"/>
  <c r="A4325" i="1"/>
  <c r="B4325" i="1"/>
  <c r="A4326" i="1"/>
  <c r="B4326" i="1"/>
  <c r="A4327" i="1"/>
  <c r="B4327" i="1"/>
  <c r="A4328" i="1"/>
  <c r="B4328" i="1"/>
  <c r="A4329" i="1"/>
  <c r="B4329" i="1"/>
  <c r="A4330" i="1"/>
  <c r="B4330" i="1"/>
  <c r="A4331" i="1"/>
  <c r="B4331" i="1"/>
  <c r="A4332" i="1"/>
  <c r="B4332" i="1"/>
  <c r="A4333" i="1"/>
  <c r="B4333" i="1"/>
  <c r="A4334" i="1"/>
  <c r="B4334" i="1"/>
  <c r="A4335" i="1"/>
  <c r="B4335" i="1"/>
  <c r="A4336" i="1"/>
  <c r="B4336" i="1"/>
  <c r="A4337" i="1"/>
  <c r="B4337" i="1"/>
  <c r="A4338" i="1"/>
  <c r="B4338" i="1"/>
  <c r="A4339" i="1"/>
  <c r="B4339" i="1"/>
  <c r="A4340" i="1"/>
  <c r="B4340" i="1"/>
  <c r="A4341" i="1"/>
  <c r="B4341" i="1"/>
  <c r="A4342" i="1"/>
  <c r="B4342" i="1"/>
  <c r="A4343" i="1"/>
  <c r="B4343" i="1"/>
  <c r="A4344" i="1"/>
  <c r="B4344" i="1"/>
  <c r="A4345" i="1"/>
  <c r="B4345" i="1"/>
  <c r="A4346" i="1"/>
  <c r="B4346" i="1"/>
  <c r="A4347" i="1"/>
  <c r="B4347" i="1"/>
  <c r="A4348" i="1"/>
  <c r="B4348" i="1"/>
  <c r="A4349" i="1"/>
  <c r="B4349" i="1"/>
  <c r="A4350" i="1"/>
  <c r="B4350" i="1"/>
  <c r="A4351" i="1"/>
  <c r="B4351" i="1"/>
  <c r="A4352" i="1"/>
  <c r="B4352" i="1"/>
  <c r="A4353" i="1"/>
  <c r="B4353" i="1"/>
  <c r="A4354" i="1"/>
  <c r="A4355" i="1"/>
  <c r="B4355" i="1"/>
  <c r="A4356" i="1"/>
  <c r="B4356" i="1"/>
  <c r="A4357" i="1"/>
  <c r="B4357" i="1"/>
  <c r="A4358" i="1"/>
  <c r="B4358" i="1"/>
  <c r="A4359" i="1"/>
  <c r="B4359" i="1"/>
  <c r="A4360" i="1"/>
  <c r="B4360" i="1"/>
  <c r="A4361" i="1"/>
  <c r="B4361" i="1"/>
  <c r="A4362" i="1"/>
  <c r="B4362" i="1"/>
  <c r="A4363" i="1"/>
  <c r="B4363" i="1"/>
  <c r="A4364" i="1"/>
  <c r="B4364" i="1"/>
  <c r="A4365" i="1"/>
  <c r="A4366" i="1"/>
  <c r="B4366" i="1"/>
  <c r="A4367" i="1"/>
  <c r="B4367" i="1"/>
  <c r="A4368" i="1"/>
  <c r="B4368" i="1"/>
  <c r="A4369" i="1"/>
  <c r="B4369" i="1"/>
  <c r="A4370" i="1"/>
  <c r="B4370" i="1"/>
  <c r="A4371" i="1"/>
  <c r="B4371" i="1"/>
  <c r="A4372" i="1"/>
  <c r="B4372" i="1"/>
  <c r="A4373" i="1"/>
  <c r="B4373" i="1"/>
  <c r="A4374" i="1"/>
  <c r="B4374" i="1"/>
  <c r="A4375" i="1"/>
  <c r="B4375" i="1"/>
  <c r="A4376" i="1"/>
  <c r="B4376" i="1"/>
  <c r="A4377" i="1"/>
  <c r="B4377" i="1"/>
  <c r="A4378" i="1"/>
  <c r="B4378" i="1"/>
  <c r="A4379" i="1"/>
  <c r="B4379" i="1"/>
  <c r="A4380" i="1"/>
  <c r="B4380" i="1"/>
  <c r="A4381" i="1"/>
  <c r="A4382" i="1"/>
  <c r="B4382" i="1"/>
  <c r="A4383" i="1"/>
  <c r="B4383" i="1"/>
  <c r="A4384" i="1"/>
  <c r="B4384" i="1"/>
  <c r="A4385" i="1"/>
  <c r="B4385" i="1"/>
  <c r="A4386" i="1"/>
  <c r="B4386" i="1"/>
  <c r="A4387" i="1"/>
  <c r="B4387" i="1"/>
  <c r="A4388" i="1"/>
  <c r="B4388" i="1"/>
  <c r="A4389" i="1"/>
  <c r="B4389" i="1"/>
  <c r="A4390" i="1"/>
  <c r="B4390" i="1"/>
  <c r="A4391" i="1"/>
  <c r="A4392" i="1"/>
  <c r="B4392" i="1"/>
  <c r="A4393" i="1"/>
  <c r="B4393" i="1"/>
  <c r="A4394" i="1"/>
  <c r="B4394" i="1"/>
  <c r="A4395" i="1"/>
  <c r="B4395" i="1"/>
  <c r="A4396" i="1"/>
  <c r="B4396" i="1"/>
  <c r="A4397" i="1"/>
  <c r="A4398" i="1"/>
  <c r="B4398" i="1"/>
  <c r="A4399" i="1"/>
  <c r="B4399" i="1"/>
  <c r="A4400" i="1"/>
  <c r="B4400" i="1"/>
  <c r="A4401" i="1"/>
  <c r="B4401" i="1"/>
  <c r="A4402" i="1"/>
  <c r="B4402" i="1"/>
  <c r="A4403" i="1"/>
  <c r="B4403" i="1"/>
  <c r="A4404" i="1"/>
  <c r="A4405" i="1"/>
  <c r="A4406" i="1"/>
  <c r="A4407" i="1"/>
  <c r="A4408" i="1"/>
  <c r="A4409" i="1"/>
  <c r="A4410" i="1"/>
  <c r="B4410" i="1"/>
  <c r="A4411" i="1"/>
  <c r="A4412" i="1"/>
  <c r="A4413" i="1"/>
  <c r="B4413" i="1"/>
  <c r="A4414" i="1"/>
  <c r="B4414" i="1"/>
  <c r="A4415" i="1"/>
  <c r="B4415" i="1"/>
  <c r="A4416" i="1"/>
  <c r="B4416" i="1"/>
  <c r="A4417" i="1"/>
  <c r="A4418" i="1"/>
  <c r="B4418" i="1"/>
  <c r="A4419" i="1"/>
  <c r="B4419" i="1"/>
  <c r="A4420" i="1"/>
  <c r="A4421" i="1"/>
  <c r="B4421" i="1"/>
  <c r="A4422" i="1"/>
  <c r="A4423" i="1"/>
  <c r="A4424" i="1"/>
  <c r="A4425" i="1"/>
  <c r="A4426" i="1"/>
  <c r="A4427" i="1"/>
  <c r="A4428" i="1"/>
  <c r="B4428" i="1"/>
  <c r="A4429" i="1"/>
  <c r="A4430" i="1"/>
  <c r="A4431" i="1"/>
  <c r="A4432" i="1"/>
  <c r="B4432" i="1"/>
  <c r="A4433" i="1"/>
  <c r="B4433" i="1"/>
  <c r="A4434" i="1"/>
  <c r="A4435" i="1"/>
  <c r="A4436" i="1"/>
  <c r="B4436" i="1"/>
  <c r="A4437" i="1"/>
  <c r="B4437" i="1"/>
  <c r="A4438" i="1"/>
  <c r="B4438" i="1"/>
  <c r="A4439" i="1"/>
  <c r="B4439" i="1"/>
  <c r="A4440" i="1"/>
  <c r="A4441" i="1"/>
  <c r="B4441" i="1"/>
  <c r="A4442" i="1"/>
  <c r="B4442" i="1"/>
  <c r="A4443" i="1"/>
  <c r="B4443" i="1"/>
  <c r="A4444" i="1"/>
  <c r="B4444" i="1"/>
  <c r="A4445" i="1"/>
  <c r="B4445" i="1"/>
  <c r="A4446" i="1"/>
  <c r="B4446" i="1"/>
  <c r="A4447" i="1"/>
  <c r="B4447" i="1"/>
  <c r="A4448" i="1"/>
  <c r="B4448" i="1"/>
  <c r="A4449" i="1"/>
  <c r="B4449" i="1"/>
  <c r="A4450" i="1"/>
  <c r="B4450" i="1"/>
  <c r="A4451" i="1"/>
  <c r="A4452" i="1"/>
  <c r="B4452" i="1"/>
  <c r="A4453" i="1"/>
  <c r="B4453" i="1"/>
  <c r="A4454" i="1"/>
  <c r="B4454" i="1"/>
  <c r="A4455" i="1"/>
  <c r="B4455" i="1"/>
  <c r="A4456" i="1"/>
  <c r="B4456" i="1"/>
  <c r="A4457" i="1"/>
  <c r="B4457" i="1"/>
  <c r="A4458" i="1"/>
  <c r="A4459" i="1"/>
  <c r="B4459" i="1"/>
  <c r="A4460" i="1"/>
  <c r="B4460" i="1"/>
  <c r="A4461" i="1"/>
  <c r="B4461" i="1"/>
  <c r="A4462" i="1"/>
  <c r="B4462" i="1"/>
  <c r="A4463" i="1"/>
  <c r="B4463" i="1"/>
  <c r="A4464" i="1"/>
  <c r="B4464" i="1"/>
  <c r="A4465" i="1"/>
  <c r="B4465" i="1"/>
  <c r="A4466" i="1"/>
  <c r="B4466" i="1"/>
  <c r="A4467" i="1"/>
  <c r="B4467" i="1"/>
  <c r="A4468" i="1"/>
  <c r="B4468" i="1"/>
  <c r="A4469" i="1"/>
  <c r="B4469" i="1"/>
  <c r="A4470" i="1"/>
  <c r="A4471" i="1"/>
  <c r="A4472" i="1"/>
  <c r="B4472" i="1"/>
  <c r="A4473" i="1"/>
  <c r="B4473" i="1"/>
  <c r="A4474" i="1"/>
  <c r="B4474" i="1"/>
  <c r="A4475" i="1"/>
  <c r="B4475" i="1"/>
  <c r="A4476" i="1"/>
  <c r="A4477" i="1"/>
  <c r="A4478" i="1"/>
  <c r="A4479" i="1"/>
  <c r="A4480" i="1"/>
  <c r="A4481" i="1"/>
  <c r="A4482" i="1"/>
  <c r="A4483" i="1"/>
  <c r="A4484" i="1"/>
  <c r="B4484" i="1"/>
  <c r="A4485" i="1"/>
  <c r="B4485" i="1"/>
  <c r="A4486" i="1"/>
  <c r="B4486" i="1"/>
  <c r="A4487" i="1"/>
  <c r="B4487" i="1"/>
  <c r="A4488" i="1"/>
  <c r="B4488" i="1"/>
  <c r="A4489" i="1"/>
  <c r="B4489" i="1"/>
  <c r="A4490" i="1"/>
  <c r="B4490" i="1"/>
  <c r="A4491" i="1"/>
  <c r="B4491" i="1"/>
  <c r="A4492" i="1"/>
  <c r="B4492" i="1"/>
  <c r="A4493" i="1"/>
  <c r="B4493" i="1"/>
  <c r="A4494" i="1"/>
  <c r="B4494" i="1"/>
  <c r="A4495" i="1"/>
  <c r="B4495" i="1"/>
  <c r="A4496" i="1"/>
  <c r="B4496" i="1"/>
  <c r="A4497" i="1"/>
  <c r="B4497" i="1"/>
  <c r="A4498" i="1"/>
  <c r="A4499" i="1"/>
  <c r="A4500" i="1"/>
  <c r="A4501" i="1"/>
  <c r="B4501" i="1"/>
  <c r="A4502" i="1"/>
  <c r="B4502" i="1"/>
  <c r="A4503" i="1"/>
  <c r="B4503" i="1"/>
  <c r="A4504" i="1"/>
  <c r="B4504" i="1"/>
  <c r="A4505" i="1"/>
  <c r="A4506" i="1"/>
  <c r="B4506" i="1"/>
  <c r="A4507" i="1"/>
  <c r="B4507" i="1"/>
  <c r="A4508" i="1"/>
  <c r="A4509" i="1"/>
  <c r="B4509" i="1"/>
  <c r="A4510" i="1"/>
  <c r="B4510" i="1"/>
  <c r="A4511" i="1"/>
  <c r="B4511" i="1"/>
  <c r="A4512" i="1"/>
  <c r="B4512" i="1"/>
  <c r="A4513" i="1"/>
  <c r="A4514" i="1"/>
  <c r="A4515" i="1"/>
  <c r="A4516" i="1"/>
  <c r="A4517" i="1"/>
  <c r="B4517" i="1"/>
  <c r="A4518" i="1"/>
  <c r="B4518" i="1"/>
  <c r="A4519" i="1"/>
  <c r="A4520" i="1"/>
  <c r="B4520" i="1"/>
  <c r="A4521" i="1"/>
  <c r="A4522" i="1"/>
  <c r="B4522" i="1"/>
  <c r="A4523" i="1"/>
  <c r="B4523" i="1"/>
  <c r="A4524" i="1"/>
  <c r="B4524" i="1"/>
  <c r="A4525" i="1"/>
  <c r="B4525" i="1"/>
  <c r="A4526" i="1"/>
  <c r="B4526" i="1"/>
  <c r="A4527" i="1"/>
  <c r="B4527" i="1"/>
  <c r="A4528" i="1"/>
  <c r="A4529" i="1"/>
  <c r="B4529" i="1"/>
  <c r="A4530" i="1"/>
  <c r="B4530" i="1"/>
  <c r="A4531" i="1"/>
  <c r="B4531" i="1"/>
  <c r="A4532" i="1"/>
  <c r="B4532" i="1"/>
  <c r="A4533" i="1"/>
  <c r="B4533" i="1"/>
  <c r="A4534" i="1"/>
  <c r="A4535" i="1"/>
  <c r="B4535" i="1"/>
  <c r="A4536" i="1"/>
  <c r="B4536" i="1"/>
  <c r="A4537" i="1"/>
  <c r="B4537" i="1"/>
  <c r="A4538" i="1"/>
  <c r="B4538" i="1"/>
  <c r="A4539" i="1"/>
  <c r="B4539" i="1"/>
  <c r="A4540" i="1"/>
  <c r="B4540" i="1"/>
  <c r="A4541" i="1"/>
  <c r="B4541" i="1"/>
  <c r="A4542" i="1"/>
  <c r="B4542" i="1"/>
  <c r="A4543" i="1"/>
  <c r="B4543" i="1"/>
  <c r="A4544" i="1"/>
  <c r="B4544" i="1"/>
  <c r="A4545" i="1"/>
  <c r="B4545" i="1"/>
  <c r="A4546" i="1"/>
  <c r="B4546" i="1"/>
  <c r="A4547" i="1"/>
  <c r="A4548" i="1"/>
  <c r="B4548" i="1"/>
  <c r="A4549" i="1"/>
  <c r="B4549" i="1"/>
  <c r="A4550" i="1"/>
  <c r="B4550" i="1"/>
  <c r="A4551" i="1"/>
  <c r="B4551" i="1"/>
  <c r="A4552" i="1"/>
  <c r="B4552" i="1"/>
  <c r="A4553" i="1"/>
  <c r="B4553" i="1"/>
  <c r="A4554" i="1"/>
  <c r="B4554" i="1"/>
  <c r="A4555" i="1"/>
  <c r="B4555" i="1"/>
  <c r="A4556" i="1"/>
  <c r="B4556" i="1"/>
  <c r="A4557" i="1"/>
  <c r="B4557" i="1"/>
  <c r="A4558" i="1"/>
  <c r="B4558" i="1"/>
  <c r="A4559" i="1"/>
  <c r="B4559" i="1"/>
  <c r="A4560" i="1"/>
  <c r="B4560" i="1"/>
  <c r="A4561" i="1"/>
  <c r="B4561" i="1"/>
  <c r="A4562" i="1"/>
  <c r="B4562" i="1"/>
  <c r="A4563" i="1"/>
  <c r="B4563" i="1"/>
  <c r="A4564" i="1"/>
  <c r="B4564" i="1"/>
  <c r="A4565" i="1"/>
  <c r="A4566" i="1"/>
  <c r="B4566" i="1"/>
  <c r="A4567" i="1"/>
  <c r="B4567" i="1"/>
  <c r="A4568" i="1"/>
  <c r="B4568" i="1"/>
  <c r="A4569" i="1"/>
  <c r="B4569" i="1"/>
  <c r="A4570" i="1"/>
  <c r="B4570" i="1"/>
  <c r="A4571" i="1"/>
  <c r="B4571" i="1"/>
  <c r="A4572" i="1"/>
  <c r="B4572" i="1"/>
  <c r="A4573" i="1"/>
  <c r="B4573" i="1"/>
  <c r="A4574" i="1"/>
  <c r="A4575" i="1"/>
  <c r="A4576" i="1"/>
  <c r="B4576" i="1"/>
  <c r="A4577" i="1"/>
  <c r="A4578" i="1"/>
  <c r="A4579" i="1"/>
  <c r="A4580" i="1"/>
  <c r="A4581" i="1"/>
  <c r="A4582" i="1"/>
  <c r="A4583" i="1"/>
  <c r="A4584" i="1"/>
  <c r="A4585" i="1"/>
  <c r="A4586" i="1"/>
  <c r="A4587" i="1"/>
  <c r="A4588" i="1"/>
  <c r="B4588" i="1"/>
  <c r="A4589" i="1"/>
  <c r="B4589" i="1"/>
  <c r="A4590" i="1"/>
  <c r="B4590" i="1"/>
  <c r="A4591" i="1"/>
  <c r="B4591" i="1"/>
  <c r="A4592" i="1"/>
  <c r="B4592" i="1"/>
  <c r="A4593" i="1"/>
  <c r="B4593" i="1"/>
  <c r="A4594" i="1"/>
  <c r="B4594" i="1"/>
  <c r="A4595" i="1"/>
  <c r="B4595" i="1"/>
  <c r="A4596" i="1"/>
  <c r="A4597" i="1"/>
  <c r="B4597" i="1"/>
  <c r="A4598" i="1"/>
  <c r="A4599" i="1"/>
  <c r="B4599" i="1"/>
  <c r="A4600" i="1"/>
  <c r="A4601" i="1"/>
  <c r="B4601" i="1"/>
  <c r="A4602" i="1"/>
  <c r="B4602" i="1"/>
  <c r="A4603" i="1"/>
  <c r="B4603" i="1"/>
  <c r="A4604" i="1"/>
  <c r="B4604" i="1"/>
  <c r="A4605" i="1"/>
  <c r="B4605" i="1"/>
  <c r="A4606" i="1"/>
  <c r="B4606" i="1"/>
  <c r="A4607" i="1"/>
  <c r="B4607" i="1"/>
  <c r="A4608" i="1"/>
  <c r="A4609" i="1"/>
  <c r="B4609" i="1"/>
  <c r="A4610" i="1"/>
  <c r="B4610" i="1"/>
  <c r="A4611" i="1"/>
  <c r="B4611" i="1"/>
  <c r="A4612" i="1"/>
  <c r="B4612" i="1"/>
  <c r="A4613" i="1"/>
  <c r="B4613" i="1"/>
  <c r="A4614" i="1"/>
  <c r="B4614" i="1"/>
  <c r="A4615" i="1"/>
  <c r="B4615" i="1"/>
  <c r="A4616" i="1"/>
  <c r="B4616" i="1"/>
  <c r="A4617" i="1"/>
  <c r="B4617" i="1"/>
  <c r="A4618" i="1"/>
  <c r="A4619" i="1"/>
  <c r="B4619" i="1"/>
  <c r="A4620" i="1"/>
  <c r="B4620" i="1"/>
  <c r="A4621" i="1"/>
  <c r="A4622" i="1"/>
  <c r="B4622" i="1"/>
  <c r="A4623" i="1"/>
  <c r="B4623" i="1"/>
  <c r="A4624" i="1"/>
  <c r="A4625" i="1"/>
  <c r="B4625" i="1"/>
  <c r="A4626" i="1"/>
  <c r="B4626" i="1"/>
  <c r="A4627" i="1"/>
  <c r="B4627" i="1"/>
  <c r="A4628" i="1"/>
  <c r="B4628" i="1"/>
  <c r="A4629" i="1"/>
  <c r="B4629" i="1"/>
  <c r="A4630" i="1"/>
  <c r="B4630" i="1"/>
  <c r="A4631" i="1"/>
  <c r="B4631" i="1"/>
  <c r="A4632" i="1"/>
  <c r="B4632" i="1"/>
  <c r="A4633" i="1"/>
  <c r="A4634" i="1"/>
  <c r="B4634" i="1"/>
  <c r="A4635" i="1"/>
  <c r="B4635" i="1"/>
  <c r="A4636" i="1"/>
  <c r="B4636" i="1"/>
  <c r="A4637" i="1"/>
  <c r="B4637" i="1"/>
  <c r="A4638" i="1"/>
  <c r="B4638" i="1"/>
  <c r="A4639" i="1"/>
  <c r="B4639" i="1"/>
  <c r="A4640" i="1"/>
  <c r="B4640" i="1"/>
  <c r="A4641" i="1"/>
  <c r="B4641" i="1"/>
  <c r="A4642" i="1"/>
  <c r="B4642" i="1"/>
  <c r="A4643" i="1"/>
  <c r="B4643" i="1"/>
  <c r="A4644" i="1"/>
  <c r="B4644" i="1"/>
  <c r="A4645" i="1"/>
  <c r="A4646" i="1"/>
  <c r="B4646" i="1"/>
  <c r="A4647" i="1"/>
  <c r="B4647" i="1"/>
  <c r="A4648" i="1"/>
  <c r="B4648" i="1"/>
  <c r="A4649" i="1"/>
  <c r="B4649" i="1"/>
  <c r="A4650" i="1"/>
  <c r="A4651" i="1"/>
  <c r="B4651" i="1"/>
  <c r="A4652" i="1"/>
  <c r="B4652" i="1"/>
  <c r="A4653" i="1"/>
  <c r="A4654" i="1"/>
  <c r="B4654" i="1"/>
  <c r="A4655" i="1"/>
  <c r="B4655" i="1"/>
  <c r="A4656" i="1"/>
  <c r="B4656" i="1"/>
  <c r="A4657" i="1"/>
  <c r="A4658" i="1"/>
  <c r="A4659" i="1"/>
  <c r="A4660" i="1"/>
  <c r="B4660" i="1"/>
  <c r="A4661" i="1"/>
  <c r="B4661" i="1"/>
  <c r="A4662" i="1"/>
  <c r="B4662" i="1"/>
  <c r="A4663" i="1"/>
  <c r="A4664" i="1"/>
  <c r="A4665" i="1"/>
  <c r="A4666" i="1"/>
  <c r="A4667" i="1"/>
  <c r="B4667" i="1"/>
  <c r="A4668" i="1"/>
  <c r="B4668" i="1"/>
  <c r="A4669" i="1"/>
  <c r="A4670" i="1"/>
  <c r="B4670" i="1"/>
  <c r="A4671" i="1"/>
  <c r="B4671" i="1"/>
  <c r="A4672" i="1"/>
  <c r="A4673" i="1"/>
  <c r="A4674" i="1"/>
  <c r="B4674" i="1"/>
  <c r="A4675" i="1"/>
  <c r="B4675" i="1"/>
  <c r="A4676" i="1"/>
  <c r="B4676" i="1"/>
  <c r="A4677" i="1"/>
  <c r="A4678" i="1"/>
  <c r="A4679" i="1"/>
  <c r="B4679" i="1"/>
  <c r="A4680" i="1"/>
  <c r="B4680" i="1"/>
  <c r="A4681" i="1"/>
  <c r="B4681" i="1"/>
  <c r="A4682" i="1"/>
  <c r="B4682" i="1"/>
  <c r="A4683" i="1"/>
  <c r="A4684" i="1"/>
  <c r="A4685" i="1"/>
  <c r="A4686" i="1"/>
  <c r="A4687" i="1"/>
  <c r="A4688" i="1"/>
  <c r="A4689" i="1"/>
  <c r="B4689" i="1"/>
  <c r="A4690" i="1"/>
  <c r="B4690" i="1"/>
  <c r="A4691" i="1"/>
  <c r="A4692" i="1"/>
  <c r="A4693" i="1"/>
  <c r="A4694" i="1"/>
  <c r="B4694" i="1"/>
  <c r="A4695" i="1"/>
  <c r="B4695" i="1"/>
  <c r="A4696" i="1"/>
  <c r="B4696" i="1"/>
  <c r="A4697" i="1"/>
  <c r="A4698" i="1"/>
  <c r="A4699" i="1"/>
  <c r="A4700" i="1"/>
  <c r="A4701" i="1"/>
  <c r="A4702" i="1"/>
  <c r="A4703" i="1"/>
  <c r="B4703" i="1"/>
  <c r="A4704" i="1"/>
  <c r="B4704" i="1"/>
  <c r="A4705" i="1"/>
  <c r="A4706" i="1"/>
  <c r="B4706" i="1"/>
  <c r="A4707" i="1"/>
  <c r="B4707" i="1"/>
  <c r="A4708" i="1"/>
  <c r="A4709" i="1"/>
  <c r="A4710" i="1"/>
  <c r="A4711" i="1"/>
  <c r="B4711" i="1"/>
  <c r="A4712" i="1"/>
  <c r="B4712" i="1"/>
  <c r="A4713" i="1"/>
  <c r="B4713" i="1"/>
  <c r="A4714" i="1"/>
  <c r="B4714" i="1"/>
  <c r="A4715" i="1"/>
  <c r="B4715" i="1"/>
  <c r="A4716" i="1"/>
  <c r="B4716" i="1"/>
  <c r="A4717" i="1"/>
  <c r="A4718" i="1"/>
  <c r="A4719" i="1"/>
  <c r="B4719" i="1"/>
  <c r="A4720" i="1"/>
  <c r="B4720" i="1"/>
  <c r="A4721" i="1"/>
  <c r="B4721" i="1"/>
  <c r="A4722" i="1"/>
  <c r="A4723" i="1"/>
  <c r="B4723" i="1"/>
  <c r="A4724" i="1"/>
  <c r="B4724" i="1"/>
  <c r="A4725" i="1"/>
  <c r="B4725" i="1"/>
  <c r="A4726" i="1"/>
  <c r="B4726" i="1"/>
  <c r="A4727" i="1"/>
  <c r="B4727" i="1"/>
  <c r="A4728" i="1"/>
  <c r="A4729" i="1"/>
  <c r="B4729" i="1"/>
  <c r="A4730" i="1"/>
  <c r="B4730" i="1"/>
  <c r="A4731" i="1"/>
  <c r="B4731" i="1"/>
  <c r="A4732" i="1"/>
  <c r="B4732" i="1"/>
  <c r="A4733" i="1"/>
  <c r="B4733" i="1"/>
  <c r="A4734" i="1"/>
  <c r="B4734" i="1"/>
  <c r="A4735" i="1"/>
  <c r="A4736" i="1"/>
  <c r="B4736" i="1"/>
  <c r="A4737" i="1"/>
  <c r="B4737" i="1"/>
  <c r="A4738" i="1"/>
  <c r="B4738" i="1"/>
  <c r="A4739" i="1"/>
  <c r="B4739" i="1"/>
  <c r="A4740" i="1"/>
  <c r="B4740" i="1"/>
  <c r="A4741" i="1"/>
  <c r="B4741" i="1"/>
  <c r="A4742" i="1"/>
  <c r="B4742" i="1"/>
  <c r="A4743" i="1"/>
  <c r="B4743" i="1"/>
  <c r="A4744" i="1"/>
  <c r="B4744" i="1"/>
  <c r="A4745" i="1"/>
  <c r="A4746" i="1"/>
  <c r="B4746" i="1"/>
  <c r="A4747" i="1"/>
  <c r="B4747" i="1"/>
  <c r="A4748" i="1"/>
  <c r="B4748" i="1"/>
  <c r="A4749" i="1"/>
  <c r="B4749" i="1"/>
  <c r="A4750" i="1"/>
  <c r="B4750" i="1"/>
  <c r="A4751" i="1"/>
  <c r="B4751" i="1"/>
  <c r="A4752" i="1"/>
  <c r="B4752" i="1"/>
  <c r="A4753" i="1"/>
  <c r="B4753" i="1"/>
  <c r="A4754" i="1"/>
  <c r="B4754" i="1"/>
  <c r="A4755" i="1"/>
  <c r="B4755" i="1"/>
  <c r="A4756" i="1"/>
  <c r="B4756" i="1"/>
  <c r="A4757" i="1"/>
  <c r="A4758" i="1"/>
  <c r="A4759" i="1"/>
  <c r="B4759" i="1"/>
  <c r="A4760" i="1"/>
  <c r="B4760" i="1"/>
  <c r="A4761" i="1"/>
  <c r="B4761" i="1"/>
  <c r="A4762" i="1"/>
  <c r="B4762" i="1"/>
  <c r="A4763" i="1"/>
  <c r="B4763" i="1"/>
  <c r="A4764" i="1"/>
  <c r="A4765" i="1"/>
  <c r="A4766" i="1"/>
  <c r="B4766" i="1"/>
  <c r="A4767" i="1"/>
  <c r="A4768" i="1"/>
  <c r="B4768" i="1"/>
  <c r="A4769" i="1"/>
  <c r="B4769" i="1"/>
  <c r="A4770" i="1"/>
  <c r="B4770" i="1"/>
  <c r="A4771" i="1"/>
  <c r="B4771" i="1"/>
  <c r="A4772" i="1"/>
  <c r="B4772" i="1"/>
  <c r="A4773" i="1"/>
  <c r="B4773" i="1"/>
  <c r="A4774" i="1"/>
  <c r="B4774" i="1"/>
  <c r="A4775" i="1"/>
  <c r="B4775" i="1"/>
  <c r="A4776" i="1"/>
  <c r="B4776" i="1"/>
  <c r="A4777" i="1"/>
  <c r="A4778" i="1"/>
  <c r="B4778" i="1"/>
  <c r="A4779" i="1"/>
  <c r="B4779" i="1"/>
  <c r="A4780" i="1"/>
  <c r="B4780" i="1"/>
  <c r="A4781" i="1"/>
  <c r="A4782" i="1"/>
  <c r="B4782" i="1"/>
  <c r="A4783" i="1"/>
  <c r="B4783" i="1"/>
  <c r="A4784" i="1"/>
  <c r="B4784" i="1"/>
  <c r="A4785" i="1"/>
  <c r="B4785" i="1"/>
  <c r="A4786" i="1"/>
  <c r="B4786" i="1"/>
  <c r="A4787" i="1"/>
  <c r="B4787" i="1"/>
  <c r="A4788" i="1"/>
  <c r="B4788" i="1"/>
  <c r="A4789" i="1"/>
  <c r="B4789" i="1"/>
  <c r="A4790" i="1"/>
  <c r="A4791" i="1"/>
  <c r="B4791" i="1"/>
  <c r="A4792" i="1"/>
  <c r="B4792" i="1"/>
  <c r="A4793" i="1"/>
  <c r="B4793" i="1"/>
  <c r="A4794" i="1"/>
  <c r="B4794" i="1"/>
  <c r="A4795" i="1"/>
  <c r="B4795" i="1"/>
  <c r="A4796" i="1"/>
  <c r="B4796" i="1"/>
  <c r="A4797" i="1"/>
  <c r="A4798" i="1"/>
  <c r="B4798" i="1"/>
  <c r="A4799" i="1"/>
  <c r="B4799" i="1"/>
  <c r="A4800" i="1"/>
  <c r="B4800" i="1"/>
  <c r="A4801" i="1"/>
  <c r="B4801" i="1"/>
  <c r="A4802" i="1"/>
  <c r="B4802" i="1"/>
  <c r="A4803" i="1"/>
  <c r="B4803" i="1"/>
  <c r="A4804" i="1"/>
  <c r="B4804" i="1"/>
  <c r="A4805" i="1"/>
  <c r="B4805" i="1"/>
  <c r="A4806" i="1"/>
  <c r="A4807" i="1"/>
  <c r="B4807" i="1"/>
  <c r="A4808" i="1"/>
  <c r="B4808" i="1"/>
  <c r="A4809" i="1"/>
  <c r="B4809" i="1"/>
  <c r="A4810" i="1"/>
  <c r="B4810" i="1"/>
  <c r="A4811" i="1"/>
  <c r="B4811" i="1"/>
  <c r="A4812" i="1"/>
  <c r="B4812" i="1"/>
  <c r="A4813" i="1"/>
  <c r="B4813" i="1"/>
  <c r="A4814" i="1"/>
  <c r="B4814" i="1"/>
  <c r="A4815" i="1"/>
  <c r="B4815" i="1"/>
  <c r="A4816" i="1"/>
  <c r="B4816" i="1"/>
  <c r="A4817" i="1"/>
  <c r="B4817" i="1"/>
  <c r="A4818" i="1"/>
  <c r="B4818" i="1"/>
  <c r="A4819" i="1"/>
  <c r="B4819" i="1"/>
  <c r="A4820" i="1"/>
  <c r="B4820" i="1"/>
  <c r="A4821" i="1"/>
  <c r="B4821" i="1"/>
  <c r="A4822" i="1"/>
  <c r="B4822" i="1"/>
  <c r="A4823" i="1"/>
  <c r="B4823" i="1"/>
  <c r="A4824" i="1"/>
  <c r="B4824" i="1"/>
  <c r="A4825" i="1"/>
  <c r="B4825" i="1"/>
  <c r="A4826" i="1"/>
  <c r="B4826" i="1"/>
  <c r="A4827" i="1"/>
  <c r="B4827" i="1"/>
  <c r="A4828" i="1"/>
  <c r="A4829" i="1"/>
  <c r="B4829" i="1"/>
  <c r="A4830" i="1"/>
  <c r="B4830" i="1"/>
  <c r="A4831" i="1"/>
  <c r="B4831" i="1"/>
  <c r="A4832" i="1"/>
  <c r="B4832" i="1"/>
  <c r="A4833" i="1"/>
  <c r="B4833" i="1"/>
  <c r="A4834" i="1"/>
  <c r="A4835" i="1"/>
  <c r="A4836" i="1"/>
  <c r="A4837" i="1"/>
  <c r="B4837" i="1"/>
  <c r="A4838" i="1"/>
  <c r="A4839" i="1"/>
  <c r="B4839" i="1"/>
  <c r="A4840" i="1"/>
  <c r="B4840" i="1"/>
  <c r="A4841" i="1"/>
  <c r="B4841" i="1"/>
  <c r="A4842" i="1"/>
  <c r="A4843" i="1"/>
  <c r="B4843" i="1"/>
  <c r="A4844" i="1"/>
  <c r="B4844" i="1"/>
  <c r="A4845" i="1"/>
  <c r="B4845" i="1"/>
  <c r="A4846" i="1"/>
  <c r="B4846" i="1"/>
  <c r="A4847" i="1"/>
  <c r="B4847" i="1"/>
  <c r="A4848" i="1"/>
  <c r="B4848" i="1"/>
  <c r="A4849" i="1"/>
  <c r="B4849" i="1"/>
  <c r="A4850" i="1"/>
  <c r="B4850" i="1"/>
  <c r="A4851" i="1"/>
  <c r="A4852" i="1"/>
  <c r="B4852" i="1"/>
  <c r="A4853" i="1"/>
  <c r="B4853" i="1"/>
  <c r="A4854" i="1"/>
  <c r="B4854" i="1"/>
  <c r="A4855" i="1"/>
  <c r="B4855" i="1"/>
  <c r="A4856" i="1"/>
  <c r="B4856" i="1"/>
  <c r="A4857" i="1"/>
  <c r="B4857" i="1"/>
  <c r="A4858" i="1"/>
  <c r="B4858" i="1"/>
  <c r="A4859" i="1"/>
  <c r="A4860" i="1"/>
  <c r="B4860" i="1"/>
  <c r="A4861" i="1"/>
  <c r="B4861" i="1"/>
  <c r="A4862" i="1"/>
  <c r="B4862" i="1"/>
  <c r="A4863" i="1"/>
  <c r="B4863" i="1"/>
  <c r="A4864" i="1"/>
  <c r="A4865" i="1"/>
  <c r="A4866" i="1"/>
  <c r="B4866" i="1"/>
  <c r="A4867" i="1"/>
  <c r="B4867" i="1"/>
  <c r="A4868" i="1"/>
  <c r="B4868" i="1"/>
  <c r="A4869" i="1"/>
  <c r="B4869" i="1"/>
  <c r="A4870" i="1"/>
  <c r="B4870" i="1"/>
  <c r="A4871" i="1"/>
  <c r="B4871" i="1"/>
  <c r="A4872" i="1"/>
  <c r="A4873" i="1"/>
  <c r="B4873" i="1"/>
  <c r="A4874" i="1"/>
  <c r="B4874" i="1"/>
  <c r="A4875" i="1"/>
  <c r="B4875" i="1"/>
  <c r="A4876" i="1"/>
  <c r="B4876" i="1"/>
  <c r="A4877" i="1"/>
  <c r="B4877" i="1"/>
  <c r="A4878" i="1"/>
  <c r="A4879" i="1"/>
  <c r="B4879" i="1"/>
  <c r="A4880" i="1"/>
  <c r="B4880" i="1"/>
  <c r="A4881" i="1"/>
  <c r="B4881" i="1"/>
  <c r="A4882" i="1"/>
  <c r="B4882" i="1"/>
  <c r="A4883" i="1"/>
  <c r="B4883" i="1"/>
  <c r="A4884" i="1"/>
  <c r="B4884" i="1"/>
  <c r="A4885" i="1"/>
  <c r="B4885" i="1"/>
  <c r="A4886" i="1"/>
  <c r="B4886" i="1"/>
  <c r="A4887" i="1"/>
  <c r="B4887" i="1"/>
  <c r="A4888" i="1"/>
  <c r="B4888" i="1"/>
  <c r="A4889" i="1"/>
  <c r="B4889" i="1"/>
  <c r="A4890" i="1"/>
  <c r="B4890" i="1"/>
  <c r="A4891" i="1"/>
  <c r="B4891" i="1"/>
  <c r="A4892" i="1"/>
  <c r="A4893" i="1"/>
  <c r="B4893" i="1"/>
  <c r="A4894" i="1"/>
  <c r="B4894" i="1"/>
  <c r="A4895" i="1"/>
  <c r="B4895" i="1"/>
  <c r="A4896" i="1"/>
  <c r="B4896" i="1"/>
  <c r="A4897" i="1"/>
  <c r="B4897" i="1"/>
  <c r="A4898" i="1"/>
  <c r="B4898" i="1"/>
  <c r="A4899" i="1"/>
  <c r="B4899" i="1"/>
  <c r="A4900" i="1"/>
  <c r="B4900" i="1"/>
  <c r="A4901" i="1"/>
  <c r="B4901" i="1"/>
  <c r="A4902" i="1"/>
  <c r="B4902" i="1"/>
  <c r="A4903" i="1"/>
  <c r="B4903" i="1"/>
  <c r="A4904" i="1"/>
  <c r="B4904" i="1"/>
  <c r="A4905" i="1"/>
  <c r="B4905" i="1"/>
  <c r="A4906" i="1"/>
  <c r="A4907" i="1"/>
  <c r="B4907" i="1"/>
  <c r="A4908" i="1"/>
  <c r="A4909" i="1"/>
  <c r="A4910" i="1"/>
  <c r="A4911" i="1"/>
  <c r="A4912" i="1"/>
  <c r="A4913" i="1"/>
  <c r="B4913" i="1"/>
  <c r="A4914" i="1"/>
  <c r="A4915" i="1"/>
  <c r="A4916" i="1"/>
  <c r="A4917" i="1"/>
  <c r="B4917" i="1"/>
  <c r="A4918" i="1"/>
  <c r="B4918" i="1"/>
  <c r="A4919" i="1"/>
  <c r="B4919" i="1"/>
  <c r="A4920" i="1"/>
  <c r="A4921" i="1"/>
  <c r="B4921" i="1"/>
  <c r="A4922" i="1"/>
  <c r="A4923" i="1"/>
  <c r="B4923" i="1"/>
  <c r="A4924" i="1"/>
  <c r="B4924" i="1"/>
  <c r="A4925" i="1"/>
  <c r="B4925" i="1"/>
  <c r="A4926" i="1"/>
  <c r="B4926" i="1"/>
  <c r="A4927" i="1"/>
  <c r="A4928" i="1"/>
  <c r="B4928" i="1"/>
  <c r="A4929" i="1"/>
  <c r="A4930" i="1"/>
  <c r="B4930" i="1"/>
  <c r="A4931" i="1"/>
  <c r="B4931" i="1"/>
  <c r="A4932" i="1"/>
  <c r="B4932" i="1"/>
  <c r="A4933" i="1"/>
  <c r="B4933" i="1"/>
  <c r="A4934" i="1"/>
  <c r="B4934" i="1"/>
  <c r="A4935" i="1"/>
  <c r="B4935" i="1"/>
  <c r="A4936" i="1"/>
  <c r="B4936" i="1"/>
  <c r="A4937" i="1"/>
  <c r="B4937" i="1"/>
  <c r="A4938" i="1"/>
  <c r="B4938" i="1"/>
  <c r="A4939" i="1"/>
  <c r="A4940" i="1"/>
  <c r="A4941" i="1"/>
  <c r="B4941" i="1"/>
  <c r="A4942" i="1"/>
  <c r="A4943" i="1"/>
  <c r="A4944" i="1"/>
  <c r="A4945" i="1"/>
  <c r="B4945" i="1"/>
  <c r="A4946" i="1"/>
  <c r="B4946" i="1"/>
  <c r="A4947" i="1"/>
  <c r="B4947" i="1"/>
  <c r="A4948" i="1"/>
  <c r="A4949" i="1"/>
  <c r="B4949" i="1"/>
  <c r="A4950" i="1"/>
  <c r="B4950" i="1"/>
  <c r="A4951" i="1"/>
  <c r="A4952" i="1"/>
  <c r="B4952" i="1"/>
  <c r="A4953" i="1"/>
  <c r="B4953" i="1"/>
  <c r="A4954" i="1"/>
  <c r="B4954" i="1"/>
  <c r="A4955" i="1"/>
  <c r="A4956" i="1"/>
  <c r="A4957" i="1"/>
  <c r="A4958" i="1"/>
  <c r="B4958" i="1"/>
  <c r="A4959" i="1"/>
  <c r="A4960" i="1"/>
  <c r="A4961" i="1"/>
  <c r="A4962" i="1"/>
  <c r="A4963" i="1"/>
  <c r="B4963" i="1"/>
  <c r="A4964" i="1"/>
  <c r="A4965" i="1"/>
  <c r="A4966" i="1"/>
  <c r="A4967" i="1"/>
  <c r="A4968" i="1"/>
  <c r="A4969" i="1"/>
  <c r="B4969" i="1"/>
  <c r="A4970" i="1"/>
  <c r="B4970" i="1"/>
  <c r="A4971" i="1"/>
  <c r="B4971" i="1"/>
  <c r="A4972" i="1"/>
  <c r="B4972" i="1"/>
  <c r="A4973" i="1"/>
  <c r="A4974" i="1"/>
  <c r="B4974" i="1"/>
  <c r="A4975" i="1"/>
  <c r="A4976" i="1"/>
  <c r="A4977" i="1"/>
  <c r="A4978" i="1"/>
  <c r="B4978" i="1"/>
  <c r="A4979" i="1"/>
  <c r="B4979" i="1"/>
  <c r="A4980" i="1"/>
  <c r="B4980" i="1"/>
  <c r="A4981" i="1"/>
  <c r="B4981" i="1"/>
  <c r="A4982" i="1"/>
  <c r="A4983" i="1"/>
  <c r="B4983" i="1"/>
  <c r="A4984" i="1"/>
  <c r="B4984" i="1"/>
  <c r="A4985" i="1"/>
  <c r="B4985" i="1"/>
  <c r="A4986" i="1"/>
  <c r="B4986" i="1"/>
  <c r="A4987" i="1"/>
  <c r="A4988" i="1"/>
  <c r="A4989" i="1"/>
  <c r="A4990" i="1"/>
  <c r="A4991" i="1"/>
  <c r="A4992" i="1"/>
  <c r="A4993" i="1"/>
  <c r="A4994" i="1"/>
  <c r="A4995" i="1"/>
  <c r="A4996" i="1"/>
  <c r="A4997" i="1"/>
  <c r="B4997" i="1"/>
  <c r="A4998" i="1"/>
  <c r="B4998" i="1"/>
  <c r="A4999" i="1"/>
  <c r="B4999" i="1"/>
  <c r="A5000" i="1"/>
  <c r="B5000" i="1"/>
  <c r="A5001" i="1"/>
  <c r="B5001" i="1"/>
  <c r="A5002" i="1"/>
  <c r="A5003" i="1"/>
  <c r="B5003" i="1"/>
  <c r="A5004" i="1"/>
  <c r="B5004" i="1"/>
  <c r="A5005" i="1"/>
  <c r="B5005" i="1"/>
  <c r="A5006" i="1"/>
  <c r="B5006" i="1"/>
  <c r="A5007" i="1"/>
  <c r="B5007" i="1"/>
  <c r="A5008" i="1"/>
  <c r="B5008" i="1"/>
  <c r="A5009" i="1"/>
  <c r="B5009" i="1"/>
  <c r="A5010" i="1"/>
  <c r="B5010" i="1"/>
  <c r="A5011" i="1"/>
  <c r="B5011" i="1"/>
  <c r="A5012" i="1"/>
  <c r="B5012" i="1"/>
  <c r="A5013" i="1"/>
  <c r="B5013" i="1"/>
  <c r="A5014" i="1"/>
  <c r="B5014" i="1"/>
  <c r="A5015" i="1"/>
  <c r="A5016" i="1"/>
  <c r="B5016" i="1"/>
  <c r="A5017" i="1"/>
  <c r="B5017" i="1"/>
  <c r="A5018" i="1"/>
  <c r="B5018" i="1"/>
  <c r="A5019" i="1"/>
  <c r="B5019" i="1"/>
  <c r="A5020" i="1"/>
  <c r="B5020" i="1"/>
  <c r="A5021" i="1"/>
  <c r="B5021" i="1"/>
  <c r="A5022" i="1"/>
  <c r="B5022" i="1"/>
  <c r="A5023" i="1"/>
  <c r="B5023" i="1"/>
  <c r="A5024" i="1"/>
  <c r="B5024" i="1"/>
  <c r="A5025" i="1"/>
  <c r="B5025" i="1"/>
  <c r="A5026" i="1"/>
  <c r="B5026" i="1"/>
  <c r="A5027" i="1"/>
  <c r="B5027" i="1"/>
  <c r="A5028" i="1"/>
  <c r="B5028" i="1"/>
  <c r="A5029" i="1"/>
  <c r="B5029" i="1"/>
  <c r="A5030" i="1"/>
  <c r="B5030" i="1"/>
  <c r="A5031" i="1"/>
  <c r="B5031" i="1"/>
  <c r="A5032" i="1"/>
  <c r="B5032" i="1"/>
  <c r="A5033" i="1"/>
  <c r="B5033" i="1"/>
  <c r="A5034" i="1"/>
  <c r="B5034" i="1"/>
  <c r="A5035" i="1"/>
  <c r="B5035" i="1"/>
  <c r="A5036" i="1"/>
  <c r="B5036" i="1"/>
  <c r="A5037" i="1"/>
  <c r="A5038" i="1"/>
  <c r="B5038" i="1"/>
  <c r="A5039" i="1"/>
  <c r="B5039" i="1"/>
  <c r="A5040" i="1"/>
  <c r="B5040" i="1"/>
  <c r="A5041" i="1"/>
  <c r="B5041" i="1"/>
  <c r="A5042" i="1"/>
  <c r="B5042" i="1"/>
  <c r="A5043" i="1"/>
  <c r="B5043" i="1"/>
  <c r="A5044" i="1"/>
  <c r="B5044" i="1"/>
  <c r="A5045" i="1"/>
  <c r="B5045" i="1"/>
  <c r="A5046" i="1"/>
  <c r="B5046" i="1"/>
  <c r="A5047" i="1"/>
  <c r="B5047" i="1"/>
  <c r="A5048" i="1"/>
  <c r="B5048" i="1"/>
  <c r="A5049" i="1"/>
  <c r="B5049" i="1"/>
  <c r="A5050" i="1"/>
  <c r="B5050" i="1"/>
  <c r="A5051" i="1"/>
  <c r="A5052" i="1"/>
  <c r="A5053" i="1"/>
  <c r="B5053" i="1"/>
  <c r="A5054" i="1"/>
  <c r="B5054" i="1"/>
  <c r="A5055" i="1"/>
  <c r="B5055" i="1"/>
  <c r="A5056" i="1"/>
  <c r="B5056" i="1"/>
  <c r="A5057" i="1"/>
  <c r="B5057" i="1"/>
  <c r="A5058" i="1"/>
  <c r="B5058" i="1"/>
  <c r="A5059" i="1"/>
  <c r="A5060" i="1"/>
  <c r="B5060" i="1"/>
  <c r="A5061" i="1"/>
  <c r="B5061" i="1"/>
  <c r="A5062" i="1"/>
  <c r="B5062" i="1"/>
  <c r="A5063" i="1"/>
  <c r="B5063" i="1"/>
  <c r="A5064" i="1"/>
  <c r="B5064" i="1"/>
  <c r="A5065" i="1"/>
  <c r="B5065" i="1"/>
  <c r="A5066" i="1"/>
  <c r="B5066" i="1"/>
  <c r="A5067" i="1"/>
  <c r="B5067" i="1"/>
  <c r="A5068" i="1"/>
  <c r="B5068" i="1"/>
  <c r="A5069" i="1"/>
  <c r="B5069" i="1"/>
  <c r="A5070" i="1"/>
  <c r="A5071" i="1"/>
  <c r="B5071" i="1"/>
  <c r="A5072" i="1"/>
  <c r="B5072" i="1"/>
  <c r="A5073" i="1"/>
  <c r="B5073" i="1"/>
  <c r="A5074" i="1"/>
  <c r="A5075" i="1"/>
  <c r="B5075" i="1"/>
  <c r="A5076" i="1"/>
  <c r="B5076" i="1"/>
  <c r="A5077" i="1"/>
  <c r="B5077" i="1"/>
  <c r="A5078" i="1"/>
  <c r="B5078" i="1"/>
  <c r="A5079" i="1"/>
  <c r="B5079" i="1"/>
  <c r="A5080" i="1"/>
  <c r="B5080" i="1"/>
  <c r="A5081" i="1"/>
  <c r="B5081" i="1"/>
  <c r="A5082" i="1"/>
  <c r="B5082" i="1"/>
  <c r="A5083" i="1"/>
  <c r="B5083" i="1"/>
  <c r="A5084" i="1"/>
  <c r="A5085" i="1"/>
  <c r="A5086" i="1"/>
  <c r="B5086" i="1"/>
  <c r="A5087" i="1"/>
  <c r="A5088" i="1"/>
  <c r="A5089" i="1"/>
  <c r="A5090" i="1"/>
  <c r="A5091" i="1"/>
  <c r="B5091" i="1"/>
  <c r="A5092" i="1"/>
  <c r="A5093" i="1"/>
  <c r="B5093" i="1"/>
  <c r="A5094" i="1"/>
  <c r="B5094" i="1"/>
  <c r="A5095" i="1"/>
  <c r="B5095" i="1"/>
  <c r="A5096" i="1"/>
  <c r="B5096" i="1"/>
  <c r="A5097" i="1"/>
  <c r="B5097" i="1"/>
  <c r="A5098" i="1"/>
  <c r="B5098" i="1"/>
  <c r="A5099" i="1"/>
  <c r="B5099" i="1"/>
  <c r="A5100" i="1"/>
  <c r="B5100" i="1"/>
  <c r="A5101" i="1"/>
  <c r="B5101" i="1"/>
  <c r="A5102" i="1"/>
  <c r="B5102" i="1"/>
  <c r="A5103" i="1"/>
  <c r="B5103" i="1"/>
  <c r="A5104" i="1"/>
  <c r="B5104" i="1"/>
  <c r="A5105" i="1"/>
  <c r="B5105" i="1"/>
  <c r="A5106" i="1"/>
  <c r="B5106" i="1"/>
  <c r="A5107" i="1"/>
  <c r="B5107" i="1"/>
  <c r="A5108" i="1"/>
  <c r="B5108" i="1"/>
  <c r="A5109" i="1"/>
  <c r="B5109" i="1"/>
  <c r="A5110" i="1"/>
  <c r="B5110" i="1"/>
  <c r="A5111" i="1"/>
  <c r="A5112" i="1"/>
  <c r="B5112" i="1"/>
  <c r="A5113" i="1"/>
  <c r="B5113" i="1"/>
  <c r="A5114" i="1"/>
  <c r="B5114" i="1"/>
  <c r="A5115" i="1"/>
  <c r="B5115" i="1"/>
  <c r="A5116" i="1"/>
  <c r="B5116" i="1"/>
  <c r="A5117" i="1"/>
  <c r="B5117" i="1"/>
  <c r="A5118" i="1"/>
  <c r="B5118" i="1"/>
  <c r="A5119" i="1"/>
  <c r="B5119" i="1"/>
  <c r="A5120" i="1"/>
  <c r="B5120" i="1"/>
  <c r="A5121" i="1"/>
  <c r="B5121" i="1"/>
  <c r="A5122" i="1"/>
  <c r="B5122" i="1"/>
  <c r="A5123" i="1"/>
  <c r="B5123" i="1"/>
  <c r="A5124" i="1"/>
  <c r="B5124" i="1"/>
  <c r="A5125" i="1"/>
  <c r="A5126" i="1"/>
  <c r="A5127" i="1"/>
  <c r="B5127" i="1"/>
  <c r="A5128" i="1"/>
  <c r="B5128" i="1"/>
  <c r="A5129" i="1"/>
  <c r="B5129" i="1"/>
  <c r="A5130" i="1"/>
  <c r="B5130" i="1"/>
  <c r="A5131" i="1"/>
  <c r="B5131" i="1"/>
  <c r="A5132" i="1"/>
  <c r="B5132" i="1"/>
  <c r="A5133" i="1"/>
  <c r="B5133" i="1"/>
  <c r="A5134" i="1"/>
  <c r="A5135" i="1"/>
  <c r="B5135" i="1"/>
  <c r="A5136" i="1"/>
  <c r="B5136" i="1"/>
  <c r="A5137" i="1"/>
  <c r="B5137" i="1"/>
  <c r="A5138" i="1"/>
  <c r="B5138" i="1"/>
  <c r="A5139" i="1"/>
  <c r="A5140" i="1"/>
  <c r="B5140" i="1"/>
  <c r="A5141" i="1"/>
  <c r="B5141" i="1"/>
  <c r="A5142" i="1"/>
  <c r="B5142" i="1"/>
  <c r="A5143" i="1"/>
  <c r="B5143" i="1"/>
  <c r="A5144" i="1"/>
  <c r="B5144" i="1"/>
  <c r="A5145" i="1"/>
  <c r="B5145" i="1"/>
  <c r="A5146" i="1"/>
  <c r="B5146" i="1"/>
  <c r="A5147" i="1"/>
  <c r="B5147" i="1"/>
  <c r="A5148" i="1"/>
  <c r="B5148" i="1"/>
  <c r="A5149" i="1"/>
  <c r="B5149" i="1"/>
  <c r="A5150" i="1"/>
  <c r="B5150" i="1"/>
  <c r="A5151" i="1"/>
  <c r="B5151" i="1"/>
  <c r="A5152" i="1"/>
  <c r="B5152" i="1"/>
  <c r="A5153" i="1"/>
  <c r="B5153" i="1"/>
  <c r="A5154" i="1"/>
  <c r="B5154" i="1"/>
  <c r="A5155" i="1"/>
  <c r="B5155" i="1"/>
  <c r="A5156" i="1"/>
  <c r="B5156" i="1"/>
  <c r="A5157" i="1"/>
  <c r="B5157" i="1"/>
  <c r="A5158" i="1"/>
  <c r="B5158" i="1"/>
  <c r="A5159" i="1"/>
  <c r="B5159" i="1"/>
  <c r="A5160" i="1"/>
  <c r="B5160" i="1"/>
  <c r="A5161" i="1"/>
  <c r="B5161" i="1"/>
  <c r="A5162" i="1"/>
  <c r="B5162" i="1"/>
  <c r="A5163" i="1"/>
  <c r="B5163" i="1"/>
  <c r="A5164" i="1"/>
  <c r="B5164" i="1"/>
  <c r="A5165" i="1"/>
  <c r="B5165" i="1"/>
  <c r="A5166" i="1"/>
  <c r="B5166" i="1"/>
  <c r="A5167" i="1"/>
  <c r="B5167" i="1"/>
  <c r="A5168" i="1"/>
  <c r="A5169" i="1"/>
  <c r="B5169" i="1"/>
  <c r="A5170" i="1"/>
  <c r="A5171" i="1"/>
  <c r="A5172" i="1"/>
  <c r="B5172" i="1"/>
  <c r="A5173" i="1"/>
  <c r="B5173" i="1"/>
  <c r="A5174" i="1"/>
  <c r="B5174" i="1"/>
  <c r="A5175" i="1"/>
  <c r="B5175" i="1"/>
  <c r="A5176" i="1"/>
  <c r="B5176" i="1"/>
  <c r="A5177" i="1"/>
  <c r="B5177" i="1"/>
  <c r="A5178" i="1"/>
  <c r="B5178" i="1"/>
  <c r="A5179" i="1"/>
  <c r="B5179" i="1"/>
  <c r="A5180" i="1"/>
  <c r="A5181" i="1"/>
  <c r="B5181" i="1"/>
  <c r="A5182" i="1"/>
  <c r="B5182" i="1"/>
  <c r="A5183" i="1"/>
  <c r="B5183" i="1"/>
  <c r="A5184" i="1"/>
  <c r="B5184" i="1"/>
  <c r="A5185" i="1"/>
  <c r="B5185" i="1"/>
  <c r="A5186" i="1"/>
  <c r="B5186" i="1"/>
  <c r="A5187" i="1"/>
  <c r="B5187" i="1"/>
  <c r="A5188" i="1"/>
  <c r="B5188" i="1"/>
  <c r="A5189" i="1"/>
  <c r="B5189" i="1"/>
  <c r="A5190" i="1"/>
  <c r="B5190" i="1"/>
  <c r="A5191" i="1"/>
  <c r="B5191" i="1"/>
  <c r="A5192" i="1"/>
  <c r="B5192" i="1"/>
  <c r="A5193" i="1"/>
  <c r="A5194" i="1"/>
  <c r="B5194" i="1"/>
  <c r="A5195" i="1"/>
  <c r="B5195" i="1"/>
  <c r="A5196" i="1"/>
  <c r="B5196" i="1"/>
  <c r="A5197" i="1"/>
  <c r="B5197" i="1"/>
  <c r="A5198" i="1"/>
  <c r="A5199" i="1"/>
  <c r="B5199" i="1"/>
  <c r="A5200" i="1"/>
  <c r="B5200" i="1"/>
  <c r="A5201" i="1"/>
  <c r="B5201" i="1"/>
  <c r="A5202" i="1"/>
  <c r="B5202" i="1"/>
  <c r="A5203" i="1"/>
  <c r="B5203" i="1"/>
  <c r="A5204" i="1"/>
  <c r="B5204" i="1"/>
  <c r="A5205" i="1"/>
  <c r="A5206" i="1"/>
  <c r="B5206" i="1"/>
  <c r="A5207" i="1"/>
  <c r="A5208" i="1"/>
  <c r="A5209" i="1"/>
  <c r="B5209" i="1"/>
  <c r="A5210" i="1"/>
  <c r="B5210" i="1"/>
  <c r="A5211" i="1"/>
  <c r="B5211" i="1"/>
  <c r="A5212" i="1"/>
  <c r="A5213" i="1"/>
  <c r="A5214" i="1"/>
  <c r="A5215" i="1"/>
  <c r="A5216" i="1"/>
  <c r="A5217" i="1"/>
  <c r="A5218" i="1"/>
  <c r="A5219" i="1"/>
  <c r="B5219" i="1"/>
  <c r="A5220" i="1"/>
  <c r="B5220" i="1"/>
  <c r="A5221" i="1"/>
  <c r="B5221" i="1"/>
  <c r="A5222" i="1"/>
  <c r="B5222" i="1"/>
  <c r="A5223" i="1"/>
  <c r="B5223" i="1"/>
  <c r="A5224" i="1"/>
  <c r="B5224" i="1"/>
  <c r="A5225" i="1"/>
  <c r="B5225" i="1"/>
  <c r="A5226" i="1"/>
  <c r="B5226" i="1"/>
  <c r="A5227" i="1"/>
  <c r="B5227" i="1"/>
  <c r="A5228" i="1"/>
  <c r="B5228" i="1"/>
  <c r="A5229" i="1"/>
  <c r="A5230" i="1"/>
  <c r="A5231" i="1"/>
  <c r="A5232" i="1"/>
  <c r="A5233" i="1"/>
  <c r="B5233" i="1"/>
  <c r="A5234" i="1"/>
  <c r="B5234" i="1"/>
  <c r="A5235" i="1"/>
  <c r="B5235" i="1"/>
  <c r="A5236" i="1"/>
  <c r="B5236" i="1"/>
  <c r="A5237" i="1"/>
  <c r="B5237" i="1"/>
  <c r="A5238" i="1"/>
  <c r="B5238" i="1"/>
  <c r="A5239" i="1"/>
  <c r="B5239" i="1"/>
  <c r="A5240" i="1"/>
  <c r="B5240" i="1"/>
  <c r="A5241" i="1"/>
  <c r="A5242" i="1"/>
  <c r="B5242" i="1"/>
  <c r="A5243" i="1"/>
  <c r="A5244" i="1"/>
  <c r="B5244" i="1"/>
  <c r="A5245" i="1"/>
  <c r="A5246" i="1"/>
  <c r="A5247" i="1"/>
  <c r="B5247" i="1"/>
  <c r="A5248" i="1"/>
  <c r="B5248" i="1"/>
  <c r="A5249" i="1"/>
  <c r="B5249" i="1"/>
  <c r="A5250" i="1"/>
  <c r="A5251" i="1"/>
  <c r="B5251" i="1"/>
  <c r="A5252" i="1"/>
  <c r="B5252" i="1"/>
  <c r="A5253" i="1"/>
  <c r="B5253" i="1"/>
  <c r="A5254" i="1"/>
  <c r="B5254" i="1"/>
  <c r="A5255" i="1"/>
  <c r="B5255" i="1"/>
  <c r="A5256" i="1"/>
  <c r="B5256" i="1"/>
  <c r="A5257" i="1"/>
  <c r="A5258" i="1"/>
  <c r="B5258" i="1"/>
  <c r="A5259" i="1"/>
  <c r="B5259" i="1"/>
  <c r="A5260" i="1"/>
  <c r="B5260" i="1"/>
  <c r="A5261" i="1"/>
  <c r="B5261" i="1"/>
  <c r="A5262" i="1"/>
  <c r="B5262" i="1"/>
  <c r="A5263" i="1"/>
  <c r="B5263" i="1"/>
  <c r="A5264" i="1"/>
  <c r="B5264" i="1"/>
  <c r="A5265" i="1"/>
  <c r="B5265" i="1"/>
  <c r="A5266" i="1"/>
  <c r="A5267" i="1"/>
  <c r="B5267" i="1"/>
  <c r="A5268" i="1"/>
  <c r="B5268" i="1"/>
  <c r="A5269" i="1"/>
  <c r="B5269" i="1"/>
  <c r="A5270" i="1"/>
  <c r="B5270" i="1"/>
  <c r="A5271" i="1"/>
  <c r="B5271" i="1"/>
  <c r="A5272" i="1"/>
  <c r="B5272" i="1"/>
  <c r="A5273" i="1"/>
  <c r="B5273" i="1"/>
  <c r="A5274" i="1"/>
  <c r="B5274" i="1"/>
  <c r="A5275" i="1"/>
  <c r="B5275" i="1"/>
  <c r="A5276" i="1"/>
  <c r="B5276" i="1"/>
  <c r="A5277" i="1"/>
  <c r="B5277" i="1"/>
  <c r="A5278" i="1"/>
  <c r="B5278" i="1"/>
  <c r="A5279" i="1"/>
  <c r="A5280" i="1"/>
  <c r="B5280" i="1"/>
  <c r="A5281" i="1"/>
  <c r="B5281" i="1"/>
  <c r="A5282" i="1"/>
  <c r="B5282" i="1"/>
  <c r="A5283" i="1"/>
  <c r="A5284" i="1"/>
  <c r="B5284" i="1"/>
  <c r="A5285" i="1"/>
  <c r="B5285" i="1"/>
  <c r="A5286" i="1"/>
  <c r="B5286" i="1"/>
  <c r="A5287" i="1"/>
  <c r="B5287" i="1"/>
  <c r="A5288" i="1"/>
  <c r="A5289" i="1"/>
  <c r="A5290" i="1"/>
  <c r="B5290" i="1"/>
  <c r="A5291" i="1"/>
  <c r="B5291" i="1"/>
  <c r="A5292" i="1"/>
  <c r="A5293" i="1"/>
  <c r="B5293" i="1"/>
  <c r="A5294" i="1"/>
  <c r="B5294" i="1"/>
  <c r="A5295" i="1"/>
  <c r="B5295" i="1"/>
  <c r="A5296" i="1"/>
  <c r="B5296" i="1"/>
  <c r="A5297" i="1"/>
  <c r="B5297" i="1"/>
  <c r="A5298" i="1"/>
  <c r="B5298" i="1"/>
  <c r="A5299" i="1"/>
  <c r="B5299" i="1"/>
  <c r="A5300" i="1"/>
  <c r="B5300" i="1"/>
  <c r="A5301" i="1"/>
  <c r="B5301" i="1"/>
  <c r="A5302" i="1"/>
  <c r="B5302" i="1"/>
  <c r="A5303" i="1"/>
  <c r="B5303" i="1"/>
  <c r="A5304" i="1"/>
  <c r="B5304" i="1"/>
  <c r="A5305" i="1"/>
  <c r="B5305" i="1"/>
  <c r="A5306" i="1"/>
  <c r="B5306" i="1"/>
  <c r="A5307" i="1"/>
  <c r="B5307" i="1"/>
  <c r="A5308" i="1"/>
  <c r="B5308" i="1"/>
  <c r="A5309" i="1"/>
  <c r="B5309" i="1"/>
  <c r="A5310" i="1"/>
  <c r="B5310" i="1"/>
  <c r="A5311" i="1"/>
  <c r="B5311" i="1"/>
  <c r="A5312" i="1"/>
  <c r="B5312" i="1"/>
  <c r="A5313" i="1"/>
  <c r="B5313" i="1"/>
  <c r="A5314" i="1"/>
  <c r="B5314" i="1"/>
  <c r="A5315" i="1"/>
  <c r="B5315" i="1"/>
  <c r="A5316" i="1"/>
  <c r="B5316" i="1"/>
  <c r="A5317" i="1"/>
  <c r="B5317" i="1"/>
  <c r="A5318" i="1"/>
  <c r="B5318" i="1"/>
  <c r="A5319" i="1"/>
  <c r="A5320" i="1"/>
  <c r="B5320" i="1"/>
  <c r="A5321" i="1"/>
  <c r="B5321" i="1"/>
  <c r="A5322" i="1"/>
  <c r="B5322" i="1"/>
  <c r="A5323" i="1"/>
  <c r="B5323" i="1"/>
  <c r="A5324" i="1"/>
  <c r="B5324" i="1"/>
  <c r="A5325" i="1"/>
  <c r="B5325" i="1"/>
  <c r="A5326" i="1"/>
  <c r="B5326" i="1"/>
  <c r="A5327" i="1"/>
  <c r="B5327" i="1"/>
  <c r="A5328" i="1"/>
  <c r="B5328" i="1"/>
  <c r="A5329" i="1"/>
  <c r="B5329" i="1"/>
  <c r="A5330" i="1"/>
  <c r="B5330" i="1"/>
  <c r="A5331" i="1"/>
  <c r="B5331" i="1"/>
  <c r="A5332" i="1"/>
  <c r="B5332" i="1"/>
  <c r="A5333" i="1"/>
  <c r="B5333" i="1"/>
  <c r="A5334" i="1"/>
  <c r="B5334" i="1"/>
  <c r="A5335" i="1"/>
  <c r="B5335" i="1"/>
  <c r="A5336" i="1"/>
  <c r="B5336" i="1"/>
  <c r="A5337" i="1"/>
  <c r="B5337" i="1"/>
  <c r="A5338" i="1"/>
  <c r="A5339" i="1"/>
  <c r="B5339" i="1"/>
  <c r="A5340" i="1"/>
  <c r="A5341" i="1"/>
  <c r="B5341" i="1"/>
  <c r="A5342" i="1"/>
  <c r="B5342" i="1"/>
  <c r="A5343" i="1"/>
  <c r="B5343" i="1"/>
  <c r="A5344" i="1"/>
  <c r="B5344" i="1"/>
  <c r="A5345" i="1"/>
  <c r="A5346" i="1"/>
  <c r="B5346" i="1"/>
  <c r="A5347" i="1"/>
  <c r="B5347" i="1"/>
  <c r="A5348" i="1"/>
  <c r="A5349" i="1"/>
  <c r="B5349" i="1"/>
  <c r="A5350" i="1"/>
  <c r="A5351" i="1"/>
  <c r="B5351" i="1"/>
  <c r="A5352" i="1"/>
  <c r="B5352" i="1"/>
  <c r="A5353" i="1"/>
  <c r="B5353" i="1"/>
  <c r="A5354" i="1"/>
  <c r="A5355" i="1"/>
  <c r="B5355" i="1"/>
  <c r="A5356" i="1"/>
  <c r="B5356" i="1"/>
  <c r="A5357" i="1"/>
  <c r="B5357" i="1"/>
  <c r="A5358" i="1"/>
  <c r="B5358" i="1"/>
  <c r="A5359" i="1"/>
  <c r="B5359" i="1"/>
  <c r="A5360" i="1"/>
  <c r="B5360" i="1"/>
  <c r="A5361" i="1"/>
  <c r="B5361" i="1"/>
  <c r="A5362" i="1"/>
  <c r="B5362" i="1"/>
  <c r="A5363" i="1"/>
  <c r="B5363" i="1"/>
  <c r="A5364" i="1"/>
  <c r="B5364" i="1"/>
  <c r="A5365" i="1"/>
  <c r="B5365" i="1"/>
  <c r="A5366" i="1"/>
  <c r="B5366" i="1"/>
  <c r="A5367" i="1"/>
  <c r="A5368" i="1"/>
  <c r="A5369" i="1"/>
  <c r="B5369" i="1"/>
  <c r="A5370" i="1"/>
  <c r="B5370" i="1"/>
  <c r="A5371" i="1"/>
  <c r="A5372" i="1"/>
  <c r="B5372" i="1"/>
  <c r="A5373" i="1"/>
  <c r="B5373" i="1"/>
  <c r="A5374" i="1"/>
  <c r="B5374" i="1"/>
  <c r="A5375" i="1"/>
  <c r="A5376" i="1"/>
  <c r="B5376" i="1"/>
  <c r="A5377" i="1"/>
  <c r="B5377" i="1"/>
  <c r="A5378" i="1"/>
  <c r="B5378" i="1"/>
  <c r="A5379" i="1"/>
  <c r="B5379" i="1"/>
  <c r="A5380" i="1"/>
  <c r="B5380" i="1"/>
  <c r="A5381" i="1"/>
  <c r="B5381" i="1"/>
  <c r="A5382" i="1"/>
  <c r="A5383" i="1"/>
  <c r="B5383" i="1"/>
  <c r="A5384" i="1"/>
  <c r="B5384" i="1"/>
  <c r="A5385" i="1"/>
  <c r="A5386" i="1"/>
  <c r="B5386" i="1"/>
  <c r="A5387" i="1"/>
  <c r="B5387" i="1"/>
  <c r="A5388" i="1"/>
  <c r="B5388" i="1"/>
  <c r="A5389" i="1"/>
  <c r="A5390" i="1"/>
  <c r="A5391" i="1"/>
  <c r="B5391" i="1"/>
  <c r="A5392" i="1"/>
  <c r="B5392" i="1"/>
  <c r="A5393" i="1"/>
  <c r="B5393" i="1"/>
  <c r="A5394" i="1"/>
  <c r="B5394" i="1"/>
  <c r="A5395" i="1"/>
  <c r="B5395" i="1"/>
  <c r="A5396" i="1"/>
  <c r="B5396" i="1"/>
  <c r="A5397" i="1"/>
  <c r="B5397" i="1"/>
  <c r="A5398" i="1"/>
  <c r="B5398" i="1"/>
  <c r="A5399" i="1"/>
  <c r="B5399" i="1"/>
  <c r="A5400" i="1"/>
  <c r="B5400" i="1"/>
  <c r="A5401" i="1"/>
  <c r="B5401" i="1"/>
  <c r="A5402" i="1"/>
  <c r="B5402" i="1"/>
  <c r="A5403" i="1"/>
  <c r="B5403" i="1"/>
  <c r="A5404" i="1"/>
  <c r="B5404" i="1"/>
  <c r="A5405" i="1"/>
  <c r="B5405" i="1"/>
  <c r="A5406" i="1"/>
  <c r="B5406" i="1"/>
  <c r="A5407" i="1"/>
  <c r="B5407" i="1"/>
  <c r="A5408" i="1"/>
  <c r="B5408" i="1"/>
  <c r="A5409" i="1"/>
  <c r="B5409" i="1"/>
  <c r="A5410" i="1"/>
  <c r="B5410" i="1"/>
  <c r="A5411" i="1"/>
  <c r="A5412" i="1"/>
  <c r="B5412" i="1"/>
  <c r="A5413" i="1"/>
  <c r="B5413" i="1"/>
  <c r="A5414" i="1"/>
  <c r="B5414" i="1"/>
  <c r="A5415" i="1"/>
  <c r="B5415" i="1"/>
  <c r="A5416" i="1"/>
  <c r="B5416" i="1"/>
  <c r="A5417" i="1"/>
  <c r="B5417" i="1"/>
  <c r="A5418" i="1"/>
  <c r="A5419" i="1"/>
  <c r="A5420" i="1"/>
  <c r="A5421" i="1"/>
  <c r="B5421" i="1"/>
  <c r="A5422" i="1"/>
  <c r="B5422" i="1"/>
  <c r="A5423" i="1"/>
  <c r="B5423" i="1"/>
  <c r="A5424" i="1"/>
  <c r="B5424" i="1"/>
  <c r="A5425" i="1"/>
  <c r="B5425" i="1"/>
  <c r="A5426" i="1"/>
  <c r="B5426" i="1"/>
  <c r="A5427" i="1"/>
  <c r="B5427" i="1"/>
  <c r="A5428" i="1"/>
  <c r="B5428" i="1"/>
  <c r="A5429" i="1"/>
  <c r="B5429" i="1"/>
  <c r="A5430" i="1"/>
  <c r="B5430" i="1"/>
  <c r="A5431" i="1"/>
  <c r="B5431" i="1"/>
  <c r="A5432" i="1"/>
  <c r="B5432" i="1"/>
  <c r="A5433" i="1"/>
  <c r="B5433" i="1"/>
  <c r="A5434" i="1"/>
  <c r="A5435" i="1"/>
  <c r="B5435" i="1"/>
  <c r="A5436" i="1"/>
  <c r="B5436" i="1"/>
  <c r="A5437" i="1"/>
  <c r="B5437" i="1"/>
  <c r="A5438" i="1"/>
  <c r="A5439" i="1"/>
  <c r="B5439" i="1"/>
  <c r="A5440" i="1"/>
  <c r="B5440" i="1"/>
  <c r="A5441" i="1"/>
  <c r="B5441" i="1"/>
  <c r="A5442" i="1"/>
  <c r="B5442" i="1"/>
  <c r="A5443" i="1"/>
  <c r="B5443" i="1"/>
  <c r="A5444" i="1"/>
  <c r="B5444" i="1"/>
  <c r="A5445" i="1"/>
  <c r="A5446" i="1"/>
  <c r="B5446" i="1"/>
  <c r="A5447" i="1"/>
  <c r="B5447" i="1"/>
  <c r="A5448" i="1"/>
  <c r="B5448" i="1"/>
  <c r="A5449" i="1"/>
  <c r="B5449" i="1"/>
  <c r="A5450" i="1"/>
  <c r="B5450" i="1"/>
  <c r="A5451" i="1"/>
  <c r="B5451" i="1"/>
  <c r="A5452" i="1"/>
  <c r="B5452" i="1"/>
  <c r="A5453" i="1"/>
  <c r="B5453" i="1"/>
  <c r="A5454" i="1"/>
  <c r="B5454" i="1"/>
  <c r="A5455" i="1"/>
  <c r="B5455" i="1"/>
  <c r="A5456" i="1"/>
  <c r="B5456" i="1"/>
  <c r="A5457" i="1"/>
  <c r="B5457" i="1"/>
  <c r="A5458" i="1"/>
  <c r="A5459" i="1"/>
  <c r="B5459" i="1"/>
  <c r="A5460" i="1"/>
  <c r="B5460" i="1"/>
  <c r="A5461" i="1"/>
  <c r="B5461" i="1"/>
  <c r="A5462" i="1"/>
  <c r="B5462" i="1"/>
  <c r="A5463" i="1"/>
  <c r="B5463" i="1"/>
  <c r="A5464" i="1"/>
  <c r="A5465" i="1"/>
  <c r="B5465" i="1"/>
  <c r="A5466" i="1"/>
  <c r="B5466" i="1"/>
  <c r="A5467" i="1"/>
  <c r="B5467" i="1"/>
  <c r="A5468" i="1"/>
  <c r="B5468" i="1"/>
  <c r="A5469" i="1"/>
  <c r="B5469" i="1"/>
  <c r="A5470" i="1"/>
  <c r="B5470" i="1"/>
  <c r="A5471" i="1"/>
  <c r="B5471" i="1"/>
  <c r="A5472" i="1"/>
  <c r="B5472" i="1"/>
  <c r="A5473" i="1"/>
  <c r="B5473" i="1"/>
  <c r="A5474" i="1"/>
  <c r="B5474" i="1"/>
  <c r="A5475" i="1"/>
  <c r="B5475" i="1"/>
  <c r="A5476" i="1"/>
  <c r="B5476" i="1"/>
  <c r="A5477" i="1"/>
  <c r="B5477" i="1"/>
  <c r="A5478" i="1"/>
  <c r="B5478" i="1"/>
  <c r="A5479" i="1"/>
  <c r="B5479" i="1"/>
  <c r="A5480" i="1"/>
  <c r="B5480" i="1"/>
  <c r="A5481" i="1"/>
  <c r="B5481" i="1"/>
  <c r="A5482" i="1"/>
  <c r="A5483" i="1"/>
  <c r="B5483" i="1"/>
  <c r="A5484" i="1"/>
  <c r="A5485" i="1"/>
  <c r="A5486" i="1"/>
  <c r="B5486" i="1"/>
  <c r="A5487" i="1"/>
  <c r="B5487" i="1"/>
  <c r="A5488" i="1"/>
  <c r="B5488" i="1"/>
  <c r="A5489" i="1"/>
  <c r="B5489" i="1"/>
  <c r="A5490" i="1"/>
  <c r="B5490" i="1"/>
  <c r="A5491" i="1"/>
  <c r="B5491" i="1"/>
  <c r="A5492" i="1"/>
  <c r="B5492" i="1"/>
  <c r="A5493" i="1"/>
  <c r="B5493" i="1"/>
  <c r="A5494" i="1"/>
  <c r="B5494" i="1"/>
  <c r="A5495" i="1"/>
  <c r="B5495" i="1"/>
  <c r="A5496" i="1"/>
  <c r="B5496" i="1"/>
  <c r="A5497" i="1"/>
  <c r="B5497" i="1"/>
  <c r="A5498" i="1"/>
  <c r="B5498" i="1"/>
  <c r="A5499" i="1"/>
  <c r="B5499" i="1"/>
  <c r="A5500" i="1"/>
  <c r="B5500" i="1"/>
  <c r="A5501" i="1"/>
  <c r="B5501" i="1"/>
  <c r="A5502" i="1"/>
  <c r="B5502" i="1"/>
  <c r="A5503" i="1"/>
  <c r="B5503" i="1"/>
  <c r="A5504" i="1"/>
  <c r="B5504" i="1"/>
  <c r="A5505" i="1"/>
  <c r="B5505" i="1"/>
  <c r="A5506" i="1"/>
  <c r="B5506" i="1"/>
  <c r="A5507" i="1"/>
  <c r="B5507" i="1"/>
  <c r="A5508" i="1"/>
  <c r="B5508" i="1"/>
  <c r="A5509" i="1"/>
  <c r="B5509" i="1"/>
  <c r="A5510" i="1"/>
  <c r="B5510" i="1"/>
  <c r="A5511" i="1"/>
  <c r="B5511" i="1"/>
  <c r="A5512" i="1"/>
  <c r="B5512" i="1"/>
  <c r="A5513" i="1"/>
  <c r="A5514" i="1"/>
  <c r="B5514" i="1"/>
  <c r="A5515" i="1"/>
  <c r="B5515" i="1"/>
  <c r="A5516" i="1"/>
  <c r="B5516" i="1"/>
  <c r="A5517" i="1"/>
  <c r="B5517" i="1"/>
  <c r="A5518" i="1"/>
  <c r="B5518" i="1"/>
  <c r="A5519" i="1"/>
  <c r="B5519" i="1"/>
  <c r="A5520" i="1"/>
  <c r="B5520" i="1"/>
  <c r="A5521" i="1"/>
  <c r="A5522" i="1"/>
  <c r="B5522" i="1"/>
  <c r="A5523" i="1"/>
  <c r="B5523" i="1"/>
  <c r="A5524" i="1"/>
  <c r="B5524" i="1"/>
  <c r="A5525" i="1"/>
  <c r="B5525" i="1"/>
  <c r="A5526" i="1"/>
  <c r="B5526" i="1"/>
  <c r="A5527" i="1"/>
  <c r="B5527" i="1"/>
  <c r="A5528" i="1"/>
  <c r="B5528" i="1"/>
  <c r="A5529" i="1"/>
  <c r="B5529" i="1"/>
  <c r="A5530" i="1"/>
  <c r="B5530" i="1"/>
  <c r="A5531" i="1"/>
  <c r="B5531" i="1"/>
  <c r="A5532" i="1"/>
  <c r="B5532" i="1"/>
  <c r="A5533" i="1"/>
  <c r="A5534" i="1"/>
  <c r="B5534" i="1"/>
  <c r="A5535" i="1"/>
  <c r="B5535" i="1"/>
  <c r="A5536" i="1"/>
  <c r="B5536" i="1"/>
  <c r="A5537" i="1"/>
  <c r="B5537" i="1"/>
  <c r="A5538" i="1"/>
  <c r="B5538" i="1"/>
  <c r="A5539" i="1"/>
  <c r="B5539" i="1"/>
  <c r="A5540" i="1"/>
  <c r="B5540" i="1"/>
  <c r="A5541" i="1"/>
  <c r="B5541" i="1"/>
  <c r="A5542" i="1"/>
  <c r="B5542" i="1"/>
  <c r="A5543" i="1"/>
  <c r="B5543" i="1"/>
  <c r="A5544" i="1"/>
  <c r="A5545" i="1"/>
  <c r="B5545" i="1"/>
  <c r="A5546" i="1"/>
  <c r="B5546" i="1"/>
  <c r="A5547" i="1"/>
  <c r="B5547" i="1"/>
  <c r="A5548" i="1"/>
  <c r="B5548" i="1"/>
  <c r="A5549" i="1"/>
  <c r="B5549" i="1"/>
  <c r="A5550" i="1"/>
  <c r="A5551" i="1"/>
  <c r="A5552" i="1"/>
  <c r="A5553" i="1"/>
  <c r="B5553" i="1"/>
  <c r="A5554" i="1"/>
  <c r="B5554" i="1"/>
  <c r="A5555" i="1"/>
  <c r="B5555" i="1"/>
  <c r="A5556" i="1"/>
  <c r="A5557" i="1"/>
  <c r="B5557" i="1"/>
  <c r="A5558" i="1"/>
  <c r="B5558" i="1"/>
  <c r="A5559" i="1"/>
  <c r="B5559" i="1"/>
  <c r="A5560" i="1"/>
  <c r="B5560" i="1"/>
  <c r="A5561" i="1"/>
  <c r="B5561" i="1"/>
  <c r="A5562" i="1"/>
  <c r="A5563" i="1"/>
  <c r="B5563" i="1"/>
  <c r="A5564" i="1"/>
  <c r="B5564" i="1"/>
  <c r="A5565" i="1"/>
  <c r="B5565" i="1"/>
  <c r="A5566" i="1"/>
  <c r="B5566" i="1"/>
  <c r="A5567" i="1"/>
  <c r="B5567" i="1"/>
  <c r="A5568" i="1"/>
  <c r="B5568" i="1"/>
  <c r="A5569" i="1"/>
  <c r="B5569" i="1"/>
  <c r="A5570" i="1"/>
  <c r="B5570" i="1"/>
  <c r="A5571" i="1"/>
  <c r="A5572" i="1"/>
  <c r="A5573" i="1"/>
  <c r="B5573" i="1"/>
  <c r="A5574" i="1"/>
  <c r="B5574" i="1"/>
  <c r="A5575" i="1"/>
  <c r="B5575" i="1"/>
  <c r="A5576" i="1"/>
  <c r="B5576" i="1"/>
  <c r="A5577" i="1"/>
  <c r="B5577" i="1"/>
  <c r="A5578" i="1"/>
  <c r="B5578" i="1"/>
  <c r="A5579" i="1"/>
  <c r="B5579" i="1"/>
  <c r="A5580" i="1"/>
  <c r="A5581" i="1"/>
  <c r="B5581" i="1"/>
  <c r="A5582" i="1"/>
  <c r="B5582" i="1"/>
  <c r="A5583" i="1"/>
  <c r="B5583" i="1"/>
  <c r="A5584" i="1"/>
  <c r="A5585" i="1"/>
  <c r="B5585" i="1"/>
  <c r="A5586" i="1"/>
  <c r="B5586" i="1"/>
  <c r="A5587" i="1"/>
  <c r="B5587" i="1"/>
  <c r="A5588" i="1"/>
  <c r="A5589" i="1"/>
  <c r="B5589" i="1"/>
  <c r="A5590" i="1"/>
  <c r="B5590" i="1"/>
  <c r="A5591" i="1"/>
  <c r="A5592" i="1"/>
  <c r="B5592" i="1"/>
  <c r="A5593" i="1"/>
  <c r="B5593" i="1"/>
  <c r="A5594" i="1"/>
  <c r="B5594" i="1"/>
  <c r="A5595" i="1"/>
  <c r="B5595" i="1"/>
  <c r="A5596" i="1"/>
  <c r="B5596" i="1"/>
  <c r="A5597" i="1"/>
  <c r="B5597" i="1"/>
  <c r="A5598" i="1"/>
  <c r="B5598" i="1"/>
  <c r="A5599" i="1"/>
  <c r="B5599" i="1"/>
  <c r="A5600" i="1"/>
  <c r="B5600" i="1"/>
  <c r="A5601" i="1"/>
  <c r="B5601" i="1"/>
  <c r="A5602" i="1"/>
  <c r="B5602" i="1"/>
  <c r="A5603" i="1"/>
  <c r="B5603" i="1"/>
  <c r="A5604" i="1"/>
  <c r="A5605" i="1"/>
  <c r="B5605" i="1"/>
  <c r="A5606" i="1"/>
  <c r="B5606" i="1"/>
  <c r="A5607" i="1"/>
  <c r="B5607" i="1"/>
  <c r="A5608" i="1"/>
  <c r="B5608" i="1"/>
  <c r="A5609" i="1"/>
  <c r="B5609" i="1"/>
  <c r="A5610" i="1"/>
  <c r="B5610" i="1"/>
  <c r="A5611" i="1"/>
  <c r="B5611" i="1"/>
  <c r="A5612" i="1"/>
  <c r="B5612" i="1"/>
  <c r="A5613" i="1"/>
  <c r="A5614" i="1"/>
  <c r="B5614" i="1"/>
  <c r="A5615" i="1"/>
  <c r="B5615" i="1"/>
  <c r="A5616" i="1"/>
  <c r="B5616" i="1"/>
  <c r="A5617" i="1"/>
  <c r="A5618" i="1"/>
  <c r="B5618" i="1"/>
  <c r="A5619" i="1"/>
  <c r="B5619" i="1"/>
  <c r="A5620" i="1"/>
  <c r="B5620" i="1"/>
  <c r="A5621" i="1"/>
  <c r="B5621" i="1"/>
  <c r="A5622" i="1"/>
  <c r="B5622" i="1"/>
  <c r="A5623" i="1"/>
  <c r="B5623" i="1"/>
  <c r="A5624" i="1"/>
  <c r="B5624" i="1"/>
  <c r="A5625" i="1"/>
  <c r="B5625" i="1"/>
  <c r="A5626" i="1"/>
  <c r="B5626" i="1"/>
  <c r="A5627" i="1"/>
  <c r="B5627" i="1"/>
  <c r="A5628" i="1"/>
  <c r="B5628" i="1"/>
  <c r="A5629" i="1"/>
  <c r="B5629" i="1"/>
  <c r="A5630" i="1"/>
  <c r="B5630" i="1"/>
  <c r="A5631" i="1"/>
  <c r="B5631" i="1"/>
  <c r="A5632" i="1"/>
  <c r="B5632" i="1"/>
  <c r="A5633" i="1"/>
  <c r="B5633" i="1"/>
  <c r="A5634" i="1"/>
  <c r="B5634" i="1"/>
  <c r="A5635" i="1"/>
  <c r="B5635" i="1"/>
  <c r="A5636" i="1"/>
  <c r="B5636" i="1"/>
  <c r="A5637" i="1"/>
  <c r="B5637" i="1"/>
  <c r="A5638" i="1"/>
  <c r="B5638" i="1"/>
  <c r="A5639" i="1"/>
  <c r="B5639" i="1"/>
  <c r="A5640" i="1"/>
  <c r="B5640" i="1"/>
  <c r="A5641" i="1"/>
  <c r="B5641" i="1"/>
  <c r="A5642" i="1"/>
  <c r="B5642" i="1"/>
  <c r="A5643" i="1"/>
  <c r="B5643" i="1"/>
  <c r="A5644" i="1"/>
  <c r="B5644" i="1"/>
  <c r="A5645" i="1"/>
  <c r="B5645" i="1"/>
  <c r="A5646" i="1"/>
  <c r="B5646" i="1"/>
  <c r="A5647" i="1"/>
  <c r="B5647" i="1"/>
  <c r="A5648" i="1"/>
  <c r="B5648" i="1"/>
  <c r="A5649" i="1"/>
  <c r="B5649" i="1"/>
  <c r="A5650" i="1"/>
  <c r="B5650" i="1"/>
  <c r="A5651" i="1"/>
  <c r="B5651" i="1"/>
  <c r="A5652" i="1"/>
  <c r="B5652" i="1"/>
  <c r="A5653" i="1"/>
  <c r="B5653" i="1"/>
  <c r="A5654" i="1"/>
  <c r="B5654" i="1"/>
  <c r="A5655" i="1"/>
  <c r="B5655" i="1"/>
  <c r="A5656" i="1"/>
  <c r="B5656" i="1"/>
  <c r="A5657" i="1"/>
  <c r="A5658" i="1"/>
  <c r="A5659" i="1"/>
  <c r="A5660" i="1"/>
  <c r="A5661" i="1"/>
  <c r="A5662" i="1"/>
  <c r="A5663" i="1"/>
  <c r="A5664" i="1"/>
  <c r="A5665" i="1"/>
  <c r="A5666" i="1"/>
  <c r="B5666" i="1"/>
  <c r="A5667" i="1"/>
  <c r="A5668" i="1"/>
  <c r="A5669" i="1"/>
  <c r="A5670" i="1"/>
  <c r="A5671" i="1"/>
  <c r="A5672" i="1"/>
  <c r="B5672" i="1"/>
  <c r="A5673" i="1"/>
  <c r="B5673" i="1"/>
  <c r="A5674" i="1"/>
  <c r="B5674" i="1"/>
  <c r="A5675" i="1"/>
  <c r="B5675" i="1"/>
  <c r="A5676" i="1"/>
  <c r="A5677" i="1"/>
  <c r="A5678" i="1"/>
  <c r="B5678" i="1"/>
  <c r="A5679" i="1"/>
  <c r="B5679" i="1"/>
  <c r="A5680" i="1"/>
  <c r="B5680" i="1"/>
  <c r="A5681" i="1"/>
  <c r="A5682" i="1"/>
  <c r="B5682" i="1"/>
  <c r="A5683" i="1"/>
  <c r="B5683" i="1"/>
  <c r="A5684" i="1"/>
  <c r="B5684" i="1"/>
  <c r="A5685" i="1"/>
  <c r="A5686" i="1"/>
  <c r="B5686" i="1"/>
  <c r="A5687" i="1"/>
  <c r="B5687" i="1"/>
  <c r="A5688" i="1"/>
  <c r="A5689" i="1"/>
  <c r="B5689" i="1"/>
  <c r="A5690" i="1"/>
  <c r="B5690" i="1"/>
  <c r="A5691" i="1"/>
  <c r="B5691" i="1"/>
  <c r="A5692" i="1"/>
  <c r="B5692" i="1"/>
  <c r="A5693" i="1"/>
  <c r="B5693" i="1"/>
  <c r="A5694" i="1"/>
  <c r="B5694" i="1"/>
  <c r="A5695" i="1"/>
  <c r="B5695" i="1"/>
  <c r="A5696" i="1"/>
  <c r="B5696" i="1"/>
  <c r="A5697" i="1"/>
  <c r="B5697" i="1"/>
  <c r="A5698" i="1"/>
  <c r="B5698" i="1"/>
  <c r="A5699" i="1"/>
  <c r="B5699" i="1"/>
  <c r="A5700" i="1"/>
  <c r="B5700" i="1"/>
  <c r="A5701" i="1"/>
  <c r="B5701" i="1"/>
  <c r="A5702" i="1"/>
  <c r="B5702" i="1"/>
  <c r="A5703" i="1"/>
  <c r="B5703" i="1"/>
  <c r="A5704" i="1"/>
  <c r="B5704" i="1"/>
  <c r="A5705" i="1"/>
  <c r="B5705" i="1"/>
  <c r="A5706" i="1"/>
  <c r="B5706" i="1"/>
  <c r="A5707" i="1"/>
  <c r="B5707" i="1"/>
  <c r="A5708" i="1"/>
  <c r="B5708" i="1"/>
  <c r="A5709" i="1"/>
  <c r="B5709" i="1"/>
  <c r="A5710" i="1"/>
  <c r="B5710" i="1"/>
  <c r="A5711" i="1"/>
  <c r="B5711" i="1"/>
  <c r="A5712" i="1"/>
  <c r="B5712" i="1"/>
  <c r="A5713" i="1"/>
  <c r="B5713" i="1"/>
  <c r="A5714" i="1"/>
  <c r="B5714" i="1"/>
  <c r="A5715" i="1"/>
  <c r="B5715" i="1"/>
  <c r="A5716" i="1"/>
  <c r="B5716" i="1"/>
  <c r="A5717" i="1"/>
  <c r="B5717" i="1"/>
  <c r="A5718" i="1"/>
  <c r="B5718" i="1"/>
  <c r="A5719" i="1"/>
  <c r="B5719" i="1"/>
  <c r="A5720" i="1"/>
  <c r="B5720" i="1"/>
  <c r="A5721" i="1"/>
  <c r="B5721" i="1"/>
  <c r="A5722" i="1"/>
  <c r="B5722" i="1"/>
  <c r="A5723" i="1"/>
  <c r="B5723" i="1"/>
  <c r="A5724" i="1"/>
  <c r="B5724" i="1"/>
  <c r="A5725" i="1"/>
  <c r="B5725" i="1"/>
  <c r="A5726" i="1"/>
  <c r="B5726" i="1"/>
  <c r="A5727" i="1"/>
  <c r="B5727" i="1"/>
  <c r="A5728" i="1"/>
  <c r="B5728" i="1"/>
  <c r="A5729" i="1"/>
  <c r="B5729" i="1"/>
  <c r="A5730" i="1"/>
  <c r="B5730" i="1"/>
  <c r="A5731" i="1"/>
  <c r="B5731" i="1"/>
  <c r="A5732" i="1"/>
  <c r="B5732" i="1"/>
  <c r="A5733" i="1"/>
  <c r="B5733" i="1"/>
  <c r="A5734" i="1"/>
  <c r="B5734" i="1"/>
  <c r="A5735" i="1"/>
  <c r="B5735" i="1"/>
  <c r="A5736" i="1"/>
  <c r="B5736" i="1"/>
  <c r="A5737" i="1"/>
  <c r="B5737" i="1"/>
  <c r="A5738" i="1"/>
  <c r="B5738" i="1"/>
  <c r="A5739" i="1"/>
  <c r="B5739" i="1"/>
  <c r="A5740" i="1"/>
  <c r="B5740" i="1"/>
  <c r="A5741" i="1"/>
  <c r="B5741" i="1"/>
  <c r="A5742" i="1"/>
  <c r="A5743" i="1"/>
  <c r="B5743" i="1"/>
  <c r="A5744" i="1"/>
  <c r="B5744" i="1"/>
  <c r="A5745" i="1"/>
  <c r="A5746" i="1"/>
  <c r="B5746" i="1"/>
  <c r="A5747" i="1"/>
  <c r="B5747" i="1"/>
  <c r="A5748" i="1"/>
  <c r="B5748" i="1"/>
  <c r="A5749" i="1"/>
  <c r="B5749" i="1"/>
  <c r="A5750" i="1"/>
  <c r="B5750" i="1"/>
  <c r="A5751" i="1"/>
  <c r="B5751" i="1"/>
  <c r="A5752" i="1"/>
  <c r="A5753" i="1"/>
  <c r="B5753" i="1"/>
  <c r="A5754" i="1"/>
  <c r="B5754" i="1"/>
  <c r="A5755" i="1"/>
  <c r="B5755" i="1"/>
  <c r="A5756" i="1"/>
  <c r="B5756" i="1"/>
  <c r="A5757" i="1"/>
  <c r="B5757" i="1"/>
  <c r="A5758" i="1"/>
  <c r="B5758" i="1"/>
  <c r="A5759" i="1"/>
  <c r="B5759" i="1"/>
  <c r="A5760" i="1"/>
  <c r="B5760" i="1"/>
  <c r="A5761" i="1"/>
  <c r="B5761" i="1"/>
  <c r="A5762" i="1"/>
  <c r="A5763" i="1"/>
  <c r="B5763" i="1"/>
  <c r="A5764" i="1"/>
  <c r="B5764" i="1"/>
  <c r="A5765" i="1"/>
  <c r="B5765" i="1"/>
  <c r="A5766" i="1"/>
  <c r="B5766" i="1"/>
  <c r="A5767" i="1"/>
  <c r="B5767" i="1"/>
  <c r="A5768" i="1"/>
  <c r="B5768" i="1"/>
  <c r="A5769" i="1"/>
  <c r="B5769" i="1"/>
  <c r="A5770" i="1"/>
  <c r="B5770" i="1"/>
  <c r="A5771" i="1"/>
  <c r="B5771" i="1"/>
  <c r="A5772" i="1"/>
  <c r="B5772" i="1"/>
  <c r="A5773" i="1"/>
  <c r="B5773" i="1"/>
  <c r="A5774" i="1"/>
  <c r="A5775" i="1"/>
  <c r="B5775" i="1"/>
  <c r="A5776" i="1"/>
  <c r="B5776" i="1"/>
  <c r="A5777" i="1"/>
  <c r="B5777" i="1"/>
  <c r="A5778" i="1"/>
  <c r="B5778" i="1"/>
  <c r="A5779" i="1"/>
  <c r="A5780" i="1"/>
  <c r="B5780" i="1"/>
  <c r="A5781" i="1"/>
  <c r="B5781" i="1"/>
  <c r="A5782" i="1"/>
  <c r="B5782" i="1"/>
  <c r="A5783" i="1"/>
  <c r="A5784" i="1"/>
  <c r="B5784" i="1"/>
  <c r="A5785" i="1"/>
  <c r="B5785" i="1"/>
  <c r="A5786" i="1"/>
  <c r="B5786" i="1"/>
  <c r="A5787" i="1"/>
  <c r="B5787" i="1"/>
  <c r="A5788" i="1"/>
  <c r="B5788" i="1"/>
  <c r="A5789" i="1"/>
  <c r="B5789" i="1"/>
  <c r="A5790" i="1"/>
  <c r="B5790" i="1"/>
  <c r="A5791" i="1"/>
  <c r="B5791" i="1"/>
  <c r="A5792" i="1"/>
  <c r="B5792" i="1"/>
  <c r="A5793" i="1"/>
  <c r="B5793" i="1"/>
  <c r="A5794" i="1"/>
  <c r="A5795" i="1"/>
  <c r="B5795" i="1"/>
  <c r="A5796" i="1"/>
  <c r="B5796" i="1"/>
  <c r="A5797" i="1"/>
  <c r="B5797" i="1"/>
  <c r="A5798" i="1"/>
  <c r="B5798" i="1"/>
  <c r="A5799" i="1"/>
  <c r="B5799" i="1"/>
  <c r="A5800" i="1"/>
  <c r="B5800" i="1"/>
  <c r="A5801" i="1"/>
  <c r="B5801" i="1"/>
  <c r="A5802" i="1"/>
  <c r="B5802" i="1"/>
  <c r="A5803" i="1"/>
  <c r="B5803" i="1"/>
  <c r="A5804" i="1"/>
  <c r="A5805" i="1"/>
  <c r="B5805" i="1"/>
  <c r="A5806" i="1"/>
  <c r="B5806" i="1"/>
  <c r="A5807" i="1"/>
  <c r="B5807" i="1"/>
  <c r="A5808" i="1"/>
  <c r="B5808" i="1"/>
  <c r="A5809" i="1"/>
  <c r="B5809" i="1"/>
  <c r="A5810" i="1"/>
  <c r="B5810" i="1"/>
  <c r="A5811" i="1"/>
  <c r="B5811" i="1"/>
  <c r="A5812" i="1"/>
  <c r="A5813" i="1"/>
  <c r="B5813" i="1"/>
  <c r="A5814" i="1"/>
  <c r="B5814" i="1"/>
  <c r="A5815" i="1"/>
  <c r="B5815" i="1"/>
  <c r="A5816" i="1"/>
  <c r="B5816" i="1"/>
  <c r="A5817" i="1"/>
  <c r="B5817" i="1"/>
  <c r="A5818" i="1"/>
  <c r="B5818" i="1"/>
  <c r="A5819" i="1"/>
  <c r="B5819" i="1"/>
  <c r="A5820" i="1"/>
  <c r="B5820" i="1"/>
  <c r="A5821" i="1"/>
  <c r="A5822" i="1"/>
  <c r="B5822" i="1"/>
  <c r="A5823" i="1"/>
  <c r="B5823" i="1"/>
  <c r="A5824" i="1"/>
  <c r="B5824" i="1"/>
  <c r="A5825" i="1"/>
  <c r="B5825" i="1"/>
  <c r="A5826" i="1"/>
  <c r="B5826" i="1"/>
  <c r="A5827" i="1"/>
  <c r="B5827" i="1"/>
  <c r="A5828" i="1"/>
  <c r="B5828" i="1"/>
  <c r="A5829" i="1"/>
  <c r="A5830" i="1"/>
  <c r="B5830" i="1"/>
  <c r="A5831" i="1"/>
  <c r="B5831" i="1"/>
  <c r="A5832" i="1"/>
  <c r="B5832" i="1"/>
  <c r="A5833" i="1"/>
  <c r="A5834" i="1"/>
  <c r="B5834" i="1"/>
  <c r="A5835" i="1"/>
  <c r="B5835" i="1"/>
  <c r="A5836" i="1"/>
  <c r="B5836" i="1"/>
  <c r="A5837" i="1"/>
  <c r="B5837" i="1"/>
  <c r="A5838" i="1"/>
  <c r="B5838" i="1"/>
  <c r="A5839" i="1"/>
  <c r="B5839" i="1"/>
  <c r="A5840" i="1"/>
  <c r="B5840" i="1"/>
  <c r="A5841" i="1"/>
  <c r="B5841" i="1"/>
  <c r="A5842" i="1"/>
  <c r="B5842" i="1"/>
  <c r="A5843" i="1"/>
  <c r="B5843" i="1"/>
  <c r="A5844" i="1"/>
  <c r="B5844" i="1"/>
  <c r="A5845" i="1"/>
  <c r="B5845" i="1"/>
  <c r="A5846" i="1"/>
  <c r="B5846" i="1"/>
  <c r="A5847" i="1"/>
  <c r="B5847" i="1"/>
  <c r="A5848" i="1"/>
  <c r="B5848" i="1"/>
  <c r="A5849" i="1"/>
  <c r="B5849" i="1"/>
  <c r="A5850" i="1"/>
  <c r="B5850" i="1"/>
  <c r="A5851" i="1"/>
  <c r="B5851" i="1"/>
  <c r="A5852" i="1"/>
  <c r="B5852" i="1"/>
  <c r="A5853" i="1"/>
  <c r="B5853" i="1"/>
  <c r="A5854" i="1"/>
  <c r="B5854" i="1"/>
  <c r="A5855" i="1"/>
  <c r="A5856" i="1"/>
  <c r="B5856" i="1"/>
  <c r="A5857" i="1"/>
  <c r="B5857" i="1"/>
  <c r="A5858" i="1"/>
  <c r="B5858" i="1"/>
  <c r="A5859" i="1"/>
  <c r="B5859" i="1"/>
  <c r="A5860" i="1"/>
  <c r="B5860" i="1"/>
  <c r="A5861" i="1"/>
  <c r="B5861" i="1"/>
  <c r="A5862" i="1"/>
  <c r="B5862" i="1"/>
  <c r="A5863" i="1"/>
  <c r="B5863" i="1"/>
  <c r="A5864" i="1"/>
  <c r="B5864" i="1"/>
  <c r="A5865" i="1"/>
  <c r="B5865" i="1"/>
  <c r="A5866" i="1"/>
  <c r="B5866" i="1"/>
  <c r="A5867" i="1"/>
  <c r="B5867" i="1"/>
  <c r="A5868" i="1"/>
  <c r="B5868" i="1"/>
  <c r="A5869" i="1"/>
  <c r="B5869" i="1"/>
  <c r="A5870" i="1"/>
  <c r="B5870" i="1"/>
  <c r="A5871" i="1"/>
  <c r="B5871" i="1"/>
  <c r="A5872" i="1"/>
  <c r="B5872" i="1"/>
  <c r="A5873" i="1"/>
  <c r="B5873" i="1"/>
  <c r="A5874" i="1"/>
  <c r="B5874" i="1"/>
  <c r="A5875" i="1"/>
  <c r="B5875" i="1"/>
  <c r="A5876" i="1"/>
  <c r="A5877" i="1"/>
  <c r="B5877" i="1"/>
  <c r="A5878" i="1"/>
  <c r="B5878" i="1"/>
  <c r="A5879" i="1"/>
  <c r="B5879" i="1"/>
  <c r="A5880" i="1"/>
  <c r="B5880" i="1"/>
  <c r="A5881" i="1"/>
  <c r="B5881" i="1"/>
  <c r="A5882" i="1"/>
  <c r="B5882" i="1"/>
  <c r="A5883" i="1"/>
  <c r="B5883" i="1"/>
  <c r="A5884" i="1"/>
  <c r="B5884" i="1"/>
  <c r="A5885" i="1"/>
  <c r="B5885" i="1"/>
  <c r="A5886" i="1"/>
  <c r="B5886" i="1"/>
  <c r="A5887" i="1"/>
  <c r="B5887" i="1"/>
  <c r="A5888" i="1"/>
  <c r="B5888" i="1"/>
  <c r="A5889" i="1"/>
  <c r="B5889" i="1"/>
  <c r="A5890" i="1"/>
  <c r="B5890" i="1"/>
  <c r="A5891" i="1"/>
  <c r="B5891" i="1"/>
  <c r="A5892" i="1"/>
  <c r="B5892" i="1"/>
  <c r="A5893" i="1"/>
  <c r="B5893" i="1"/>
  <c r="A5894" i="1"/>
  <c r="B5894" i="1"/>
  <c r="A5895" i="1"/>
  <c r="B5895" i="1"/>
  <c r="A5896" i="1"/>
  <c r="B5896" i="1"/>
  <c r="A5897" i="1"/>
  <c r="B5897" i="1"/>
  <c r="A5898" i="1"/>
  <c r="B5898" i="1"/>
  <c r="A5899" i="1"/>
  <c r="B5899" i="1"/>
  <c r="A5900" i="1"/>
  <c r="B5900" i="1"/>
  <c r="A5901" i="1"/>
  <c r="B5901" i="1"/>
  <c r="A5902" i="1"/>
  <c r="B5902" i="1"/>
  <c r="A5903" i="1"/>
  <c r="B5903" i="1"/>
  <c r="A5904" i="1"/>
  <c r="B5904" i="1"/>
  <c r="A5905" i="1"/>
  <c r="B5905" i="1"/>
  <c r="A5906" i="1"/>
  <c r="B5906" i="1"/>
  <c r="A5907" i="1"/>
  <c r="B5907" i="1"/>
  <c r="A5908" i="1"/>
  <c r="B5908" i="1"/>
  <c r="A5909" i="1"/>
  <c r="B5909" i="1"/>
  <c r="A5910" i="1"/>
  <c r="B5910" i="1"/>
  <c r="A5911" i="1"/>
  <c r="B5911" i="1"/>
  <c r="A5912" i="1"/>
  <c r="B5912" i="1"/>
  <c r="A5913" i="1"/>
  <c r="B5913" i="1"/>
  <c r="A5914" i="1"/>
  <c r="B5914" i="1"/>
  <c r="A5915" i="1"/>
  <c r="B5915" i="1"/>
  <c r="A5916" i="1"/>
  <c r="B5916" i="1"/>
  <c r="A5917" i="1"/>
  <c r="B5917" i="1"/>
  <c r="A5918" i="1"/>
  <c r="B5918" i="1"/>
  <c r="A5919" i="1"/>
  <c r="B5919" i="1"/>
  <c r="A5920" i="1"/>
  <c r="A5921" i="1"/>
  <c r="B5921" i="1"/>
  <c r="A5922" i="1"/>
  <c r="A5923" i="1"/>
  <c r="B5923" i="1"/>
  <c r="A5924" i="1"/>
  <c r="A5925" i="1"/>
  <c r="B5925" i="1"/>
  <c r="A5926" i="1"/>
  <c r="B5926" i="1"/>
  <c r="A5927" i="1"/>
  <c r="B5927" i="1"/>
  <c r="A5928" i="1"/>
  <c r="B5928" i="1"/>
  <c r="A5929" i="1"/>
  <c r="B5929" i="1"/>
  <c r="A5930" i="1"/>
  <c r="A5931" i="1"/>
  <c r="A5932" i="1"/>
  <c r="A5933" i="1"/>
  <c r="A5934" i="1"/>
  <c r="A5935" i="1"/>
  <c r="A5936" i="1"/>
  <c r="A5937" i="1"/>
  <c r="B5937" i="1"/>
  <c r="A5938" i="1"/>
  <c r="B5938" i="1"/>
  <c r="A5939" i="1"/>
  <c r="B5939" i="1"/>
  <c r="A5940" i="1"/>
  <c r="B5940" i="1"/>
  <c r="A5941" i="1"/>
  <c r="B5941" i="1"/>
  <c r="A5942" i="1"/>
  <c r="A5943" i="1"/>
  <c r="B5943" i="1"/>
  <c r="A5944" i="1"/>
  <c r="B5944" i="1"/>
  <c r="A5945" i="1"/>
  <c r="B5945" i="1"/>
  <c r="A5946" i="1"/>
  <c r="B5946" i="1"/>
  <c r="A5947" i="1"/>
  <c r="B5947" i="1"/>
  <c r="A5948" i="1"/>
  <c r="B5948" i="1"/>
  <c r="A5949" i="1"/>
  <c r="B5949" i="1"/>
  <c r="A5950" i="1"/>
  <c r="B5950" i="1"/>
  <c r="A5951" i="1"/>
  <c r="B5951" i="1"/>
  <c r="A5952" i="1"/>
  <c r="B5952" i="1"/>
  <c r="A5953" i="1"/>
  <c r="B5953" i="1"/>
  <c r="A5954" i="1"/>
  <c r="B5954" i="1"/>
  <c r="A5955" i="1"/>
  <c r="B5955" i="1"/>
  <c r="A5956" i="1"/>
  <c r="A5957" i="1"/>
  <c r="B5957" i="1"/>
  <c r="A5958" i="1"/>
  <c r="B5958" i="1"/>
  <c r="A5959" i="1"/>
  <c r="B5959" i="1"/>
  <c r="A5960" i="1"/>
  <c r="B5960" i="1"/>
  <c r="A5961" i="1"/>
  <c r="B5961" i="1"/>
  <c r="A5962" i="1"/>
  <c r="B5962" i="1"/>
  <c r="A5963" i="1"/>
  <c r="B5963" i="1"/>
  <c r="A5964" i="1"/>
  <c r="B5964" i="1"/>
  <c r="A5965" i="1"/>
  <c r="B5965" i="1"/>
  <c r="A5966" i="1"/>
  <c r="B5966" i="1"/>
  <c r="A5967" i="1"/>
  <c r="A5968" i="1"/>
  <c r="B5968" i="1"/>
  <c r="A5969" i="1"/>
  <c r="B5969" i="1"/>
  <c r="A5970" i="1"/>
  <c r="B5970" i="1"/>
  <c r="A5971" i="1"/>
  <c r="B5971" i="1"/>
  <c r="A5972" i="1"/>
  <c r="A5973" i="1"/>
  <c r="B5973" i="1"/>
  <c r="A5974" i="1"/>
  <c r="A5975" i="1"/>
  <c r="B5975" i="1"/>
  <c r="A5976" i="1"/>
  <c r="B5976" i="1"/>
  <c r="A5977" i="1"/>
  <c r="B5977" i="1"/>
  <c r="A5978" i="1"/>
  <c r="A5979" i="1"/>
  <c r="B5979" i="1"/>
  <c r="A5980" i="1"/>
  <c r="B5980" i="1"/>
  <c r="A5981" i="1"/>
  <c r="B5981" i="1"/>
  <c r="A5982" i="1"/>
  <c r="B5982" i="1"/>
  <c r="A5983" i="1"/>
  <c r="A5984" i="1"/>
  <c r="B5984" i="1"/>
  <c r="A5985" i="1"/>
  <c r="A5986" i="1"/>
  <c r="A5987" i="1"/>
  <c r="B5987" i="1"/>
  <c r="A5988" i="1"/>
  <c r="B5988" i="1"/>
  <c r="A5989" i="1"/>
  <c r="A5990" i="1"/>
  <c r="B5990" i="1"/>
  <c r="A5991" i="1"/>
  <c r="B5991" i="1"/>
  <c r="A5992" i="1"/>
  <c r="B5992" i="1"/>
  <c r="A5993" i="1"/>
  <c r="B5993" i="1"/>
  <c r="A5994" i="1"/>
  <c r="B5994" i="1"/>
  <c r="A5995" i="1"/>
  <c r="B5995" i="1"/>
  <c r="A5996" i="1"/>
  <c r="B5996" i="1"/>
  <c r="A5997" i="1"/>
  <c r="B5997" i="1"/>
  <c r="A5998" i="1"/>
  <c r="B5998" i="1"/>
  <c r="A5999" i="1"/>
  <c r="B5999" i="1"/>
  <c r="A6000" i="1"/>
  <c r="B6000" i="1"/>
  <c r="A6001" i="1"/>
  <c r="A6002" i="1"/>
  <c r="B6002" i="1"/>
  <c r="A6003" i="1"/>
  <c r="A6004" i="1"/>
  <c r="B6004" i="1"/>
  <c r="A6005" i="1"/>
  <c r="B6005" i="1"/>
  <c r="A6006" i="1"/>
  <c r="B6006" i="1"/>
  <c r="A6007" i="1"/>
  <c r="B6007" i="1"/>
  <c r="A6008" i="1"/>
  <c r="B6008" i="1"/>
  <c r="A6009" i="1"/>
  <c r="B6009" i="1"/>
  <c r="A6010" i="1"/>
  <c r="B6010" i="1"/>
  <c r="A6011" i="1"/>
  <c r="B6011" i="1"/>
  <c r="A6012" i="1"/>
  <c r="B6012" i="1"/>
  <c r="A6013" i="1"/>
  <c r="B6013" i="1"/>
  <c r="A6014" i="1"/>
  <c r="A6015" i="1"/>
  <c r="B6015" i="1"/>
  <c r="A6016" i="1"/>
  <c r="B6016" i="1"/>
  <c r="A6017" i="1"/>
  <c r="A6018" i="1"/>
  <c r="B6018" i="1"/>
  <c r="A6019" i="1"/>
  <c r="A6020" i="1"/>
  <c r="A6021" i="1"/>
  <c r="B6021" i="1"/>
  <c r="A6022" i="1"/>
  <c r="B6022" i="1"/>
  <c r="A6023" i="1"/>
  <c r="B6023" i="1"/>
  <c r="A6024" i="1"/>
  <c r="B6024" i="1"/>
  <c r="A6025" i="1"/>
  <c r="B6025" i="1"/>
  <c r="A6026" i="1"/>
  <c r="B6026" i="1"/>
  <c r="A6027" i="1"/>
  <c r="B6027" i="1"/>
  <c r="A6028" i="1"/>
  <c r="B6028" i="1"/>
  <c r="A6029" i="1"/>
  <c r="B6029" i="1"/>
  <c r="A6030" i="1"/>
  <c r="B6030" i="1"/>
  <c r="A6031" i="1"/>
  <c r="B6031" i="1"/>
  <c r="A6032" i="1"/>
  <c r="B6032" i="1"/>
  <c r="A6033" i="1"/>
  <c r="B6033" i="1"/>
  <c r="A6034" i="1"/>
  <c r="B6034" i="1"/>
  <c r="A6035" i="1"/>
  <c r="B6035" i="1"/>
  <c r="A6036" i="1"/>
  <c r="B6036" i="1"/>
  <c r="A6037" i="1"/>
  <c r="B6037" i="1"/>
  <c r="A6038" i="1"/>
  <c r="B6038" i="1"/>
  <c r="A6039" i="1"/>
  <c r="B6039" i="1"/>
  <c r="A6040" i="1"/>
  <c r="B6040" i="1"/>
  <c r="A6041" i="1"/>
  <c r="A6042" i="1"/>
  <c r="B6042" i="1"/>
  <c r="A6043" i="1"/>
  <c r="B6043" i="1"/>
  <c r="A6044" i="1"/>
  <c r="B6044" i="1"/>
  <c r="A6045" i="1"/>
  <c r="A6046" i="1"/>
  <c r="B6046" i="1"/>
  <c r="A6047" i="1"/>
  <c r="B6047" i="1"/>
  <c r="A6048" i="1"/>
  <c r="A6049" i="1"/>
  <c r="B6049" i="1"/>
  <c r="A6050" i="1"/>
  <c r="A6051" i="1"/>
  <c r="B6051" i="1"/>
  <c r="A6052" i="1"/>
  <c r="B6052" i="1"/>
  <c r="A6053" i="1"/>
  <c r="A6054" i="1"/>
  <c r="A6055" i="1"/>
  <c r="A6056" i="1"/>
  <c r="B6056" i="1"/>
  <c r="A6057" i="1"/>
  <c r="B6057" i="1"/>
  <c r="A6058" i="1"/>
  <c r="B6058" i="1"/>
  <c r="A6059" i="1"/>
  <c r="B6059" i="1"/>
  <c r="A6060" i="1"/>
  <c r="B6060" i="1"/>
  <c r="A6061" i="1"/>
  <c r="A6062" i="1"/>
  <c r="B6062" i="1"/>
  <c r="A6063" i="1"/>
  <c r="B6063" i="1"/>
  <c r="A6064" i="1"/>
  <c r="A6065" i="1"/>
  <c r="B6065" i="1"/>
  <c r="A6066" i="1"/>
  <c r="A6067" i="1"/>
  <c r="A6068" i="1"/>
  <c r="B6068" i="1"/>
  <c r="A6069" i="1"/>
  <c r="B6069" i="1"/>
  <c r="A6070" i="1"/>
  <c r="B6070" i="1"/>
  <c r="A6071" i="1"/>
  <c r="A6072" i="1"/>
  <c r="A6073" i="1"/>
  <c r="A6074" i="1"/>
  <c r="B6074" i="1"/>
  <c r="A6075" i="1"/>
  <c r="B6075" i="1"/>
  <c r="A6076" i="1"/>
  <c r="A6077" i="1"/>
  <c r="B6077" i="1"/>
  <c r="A6078" i="1"/>
  <c r="B6078" i="1"/>
  <c r="A6079" i="1"/>
  <c r="A6080" i="1"/>
  <c r="A6081" i="1"/>
  <c r="A6082" i="1"/>
  <c r="B6082" i="1"/>
  <c r="A6083" i="1"/>
  <c r="B6083" i="1"/>
  <c r="A6084" i="1"/>
  <c r="A6085" i="1"/>
  <c r="B6085" i="1"/>
  <c r="A6086" i="1"/>
  <c r="B6086" i="1"/>
  <c r="A6087" i="1"/>
  <c r="B6087" i="1"/>
  <c r="A6088" i="1"/>
  <c r="B6088" i="1"/>
  <c r="A6089" i="1"/>
  <c r="B6089" i="1"/>
  <c r="A6090" i="1"/>
  <c r="B6090" i="1"/>
  <c r="A6091" i="1"/>
  <c r="B6091" i="1"/>
  <c r="A6092" i="1"/>
  <c r="A6093" i="1"/>
  <c r="A6094" i="1"/>
  <c r="B6094" i="1"/>
  <c r="A6095" i="1"/>
  <c r="B6095" i="1"/>
  <c r="A6096" i="1"/>
  <c r="B6096" i="1"/>
  <c r="A6097" i="1"/>
  <c r="B6097" i="1"/>
  <c r="A6098" i="1"/>
  <c r="B6098" i="1"/>
  <c r="A6099" i="1"/>
  <c r="B6099" i="1"/>
  <c r="A6100" i="1"/>
  <c r="B6100" i="1"/>
  <c r="A6101" i="1"/>
  <c r="B6101" i="1"/>
  <c r="A6102" i="1"/>
  <c r="B6102" i="1"/>
  <c r="A6103" i="1"/>
  <c r="B6103" i="1"/>
  <c r="A6104" i="1"/>
  <c r="B6104" i="1"/>
  <c r="A6105" i="1"/>
  <c r="B6105" i="1"/>
  <c r="A6106" i="1"/>
  <c r="B6106" i="1"/>
  <c r="A6107" i="1"/>
  <c r="B6107" i="1"/>
  <c r="A6108" i="1"/>
  <c r="B6108" i="1"/>
  <c r="A6109" i="1"/>
  <c r="B6109" i="1"/>
  <c r="A6110" i="1"/>
  <c r="A6111" i="1"/>
  <c r="B6111" i="1"/>
  <c r="A6112" i="1"/>
  <c r="B6112" i="1"/>
  <c r="A6113" i="1"/>
  <c r="B6113" i="1"/>
  <c r="A6114" i="1"/>
  <c r="B6114" i="1"/>
  <c r="A6115" i="1"/>
  <c r="A6116" i="1"/>
  <c r="A6117" i="1"/>
  <c r="B6117" i="1"/>
  <c r="A6118" i="1"/>
  <c r="B6118" i="1"/>
  <c r="A6119" i="1"/>
  <c r="B6119" i="1"/>
  <c r="A6120" i="1"/>
  <c r="B6120" i="1"/>
  <c r="A6121" i="1"/>
  <c r="B6121" i="1"/>
  <c r="A6122" i="1"/>
  <c r="B6122" i="1"/>
  <c r="A6123" i="1"/>
  <c r="B6123" i="1"/>
  <c r="A6124" i="1"/>
  <c r="B6124" i="1"/>
  <c r="A6125" i="1"/>
  <c r="A6126" i="1"/>
  <c r="B6126" i="1"/>
  <c r="A6127" i="1"/>
  <c r="A6128" i="1"/>
  <c r="B6128" i="1"/>
  <c r="A6129" i="1"/>
  <c r="B6129" i="1"/>
  <c r="A6130" i="1"/>
  <c r="B6130" i="1"/>
  <c r="A6131" i="1"/>
  <c r="B6131" i="1"/>
  <c r="A6132" i="1"/>
  <c r="B6132" i="1"/>
  <c r="A6133" i="1"/>
  <c r="B6133" i="1"/>
  <c r="A6134" i="1"/>
  <c r="B6134" i="1"/>
  <c r="A6135" i="1"/>
  <c r="A6136" i="1"/>
  <c r="B6136" i="1"/>
  <c r="A6137" i="1"/>
  <c r="B6137" i="1"/>
  <c r="A6138" i="1"/>
  <c r="B6138" i="1"/>
  <c r="A6139" i="1"/>
  <c r="B6139" i="1"/>
  <c r="A6140" i="1"/>
  <c r="B6140" i="1"/>
  <c r="A6141" i="1"/>
  <c r="B6141" i="1"/>
  <c r="A6142" i="1"/>
  <c r="A6143" i="1"/>
  <c r="B6143" i="1"/>
  <c r="A6144" i="1"/>
  <c r="B6144" i="1"/>
  <c r="A6145" i="1"/>
  <c r="A6146" i="1"/>
  <c r="B6146" i="1"/>
  <c r="A6147" i="1"/>
  <c r="B6147" i="1"/>
  <c r="A6148" i="1"/>
  <c r="B6148" i="1"/>
  <c r="A6149" i="1"/>
  <c r="B6149" i="1"/>
  <c r="A6150" i="1"/>
  <c r="B6150" i="1"/>
  <c r="A6151" i="1"/>
  <c r="A6152" i="1"/>
  <c r="A6153" i="1"/>
  <c r="B6153" i="1"/>
  <c r="A6154" i="1"/>
  <c r="B6154" i="1"/>
  <c r="A6155" i="1"/>
  <c r="B6155" i="1"/>
  <c r="A6156" i="1"/>
  <c r="A6157" i="1"/>
  <c r="A6158" i="1"/>
  <c r="B6158" i="1"/>
  <c r="A6159" i="1"/>
  <c r="B6159" i="1"/>
  <c r="A6160" i="1"/>
  <c r="B6160" i="1"/>
  <c r="A6161" i="1"/>
  <c r="B6161" i="1"/>
  <c r="A6162" i="1"/>
  <c r="A6163" i="1"/>
  <c r="B6163" i="1"/>
  <c r="A6164" i="1"/>
  <c r="A6165" i="1"/>
  <c r="B6165" i="1"/>
  <c r="A6166" i="1"/>
  <c r="B6166" i="1"/>
  <c r="A6167" i="1"/>
  <c r="B6167" i="1"/>
  <c r="A6168" i="1"/>
  <c r="B6168" i="1"/>
  <c r="A6169" i="1"/>
  <c r="A6170" i="1"/>
  <c r="A6171" i="1"/>
  <c r="A6172" i="1"/>
  <c r="A6173" i="1"/>
  <c r="A6174" i="1"/>
  <c r="A6175" i="1"/>
  <c r="A6176" i="1"/>
  <c r="A6177" i="1"/>
  <c r="B6177" i="1"/>
  <c r="A6178" i="1"/>
  <c r="B6178" i="1"/>
  <c r="A6179" i="1"/>
  <c r="B6179" i="1"/>
  <c r="A6180" i="1"/>
  <c r="B6180" i="1"/>
  <c r="A6181" i="1"/>
  <c r="B6181" i="1"/>
  <c r="A6182" i="1"/>
  <c r="A6183" i="1"/>
  <c r="B6183" i="1"/>
  <c r="A6184" i="1"/>
  <c r="B6184" i="1"/>
  <c r="A6185" i="1"/>
  <c r="B6185" i="1"/>
  <c r="A6186" i="1"/>
  <c r="B6186" i="1"/>
  <c r="A6187" i="1"/>
  <c r="A6188" i="1"/>
  <c r="B6188" i="1"/>
  <c r="A6189" i="1"/>
  <c r="B6189" i="1"/>
  <c r="A6190" i="1"/>
  <c r="B6190" i="1"/>
  <c r="A6191" i="1"/>
  <c r="A6192" i="1"/>
  <c r="B6192" i="1"/>
  <c r="A6193" i="1"/>
  <c r="B6193" i="1"/>
  <c r="A6194" i="1"/>
  <c r="B6194" i="1"/>
  <c r="A6195" i="1"/>
  <c r="A6196" i="1"/>
  <c r="B6196" i="1"/>
  <c r="A6197" i="1"/>
  <c r="B6197" i="1"/>
  <c r="A6198" i="1"/>
  <c r="B6198" i="1"/>
  <c r="A6199" i="1"/>
  <c r="B6199" i="1"/>
  <c r="A6200" i="1"/>
  <c r="B6200" i="1"/>
  <c r="A6201" i="1"/>
  <c r="B6201" i="1"/>
  <c r="A6202" i="1"/>
  <c r="B6202" i="1"/>
  <c r="A6203" i="1"/>
  <c r="A6204" i="1"/>
  <c r="B6204" i="1"/>
  <c r="A6205" i="1"/>
  <c r="B6205" i="1"/>
  <c r="A6206" i="1"/>
  <c r="B6206" i="1"/>
  <c r="A6207" i="1"/>
  <c r="B6207" i="1"/>
  <c r="A6208" i="1"/>
  <c r="B6208" i="1"/>
  <c r="A6209" i="1"/>
  <c r="B6209" i="1"/>
  <c r="A6210" i="1"/>
  <c r="B6210" i="1"/>
  <c r="A6211" i="1"/>
  <c r="B6211" i="1"/>
  <c r="A6212" i="1"/>
  <c r="B6212" i="1"/>
  <c r="A6213" i="1"/>
  <c r="B6213" i="1"/>
  <c r="A6214" i="1"/>
  <c r="B6214" i="1"/>
  <c r="A6215" i="1"/>
  <c r="A6216" i="1"/>
  <c r="A6217" i="1"/>
  <c r="B6217" i="1"/>
  <c r="A6218" i="1"/>
  <c r="A6219" i="1"/>
  <c r="B6219" i="1"/>
  <c r="A6220" i="1"/>
  <c r="B6220" i="1"/>
  <c r="A6221" i="1"/>
  <c r="B6221" i="1"/>
  <c r="A6222" i="1"/>
  <c r="B6222" i="1"/>
  <c r="A6223" i="1"/>
  <c r="B6223" i="1"/>
  <c r="A6224" i="1"/>
  <c r="B6224" i="1"/>
  <c r="A6225" i="1"/>
  <c r="A6226" i="1"/>
  <c r="B6226" i="1"/>
  <c r="A6227" i="1"/>
  <c r="B6227" i="1"/>
  <c r="A6228" i="1"/>
  <c r="B6228" i="1"/>
  <c r="A6229" i="1"/>
  <c r="B6229" i="1"/>
  <c r="A6230" i="1"/>
  <c r="B6230" i="1"/>
  <c r="A6231" i="1"/>
  <c r="B6231" i="1"/>
  <c r="A6232" i="1"/>
  <c r="B6232" i="1"/>
  <c r="A6233" i="1"/>
  <c r="B6233" i="1"/>
  <c r="A6234" i="1"/>
  <c r="B6234" i="1"/>
  <c r="A6235" i="1"/>
  <c r="A6236" i="1"/>
  <c r="B6236" i="1"/>
  <c r="A6237" i="1"/>
  <c r="B6237" i="1"/>
  <c r="A6238" i="1"/>
  <c r="B6238" i="1"/>
  <c r="A6239" i="1"/>
  <c r="A6240" i="1"/>
  <c r="B6240" i="1"/>
  <c r="A6241" i="1"/>
  <c r="B6241" i="1"/>
  <c r="A6242" i="1"/>
  <c r="B6242" i="1"/>
  <c r="A6243" i="1"/>
  <c r="B6243" i="1"/>
  <c r="A6244" i="1"/>
  <c r="B6244" i="1"/>
  <c r="A6245" i="1"/>
  <c r="B6245" i="1"/>
  <c r="A6246" i="1"/>
  <c r="B6246" i="1"/>
  <c r="A6247" i="1"/>
  <c r="B6247" i="1"/>
  <c r="A6248" i="1"/>
  <c r="B6248" i="1"/>
  <c r="A6249" i="1"/>
  <c r="B6249" i="1"/>
  <c r="A6250" i="1"/>
  <c r="A6251" i="1"/>
  <c r="B6251" i="1"/>
  <c r="A6252" i="1"/>
  <c r="A6253" i="1"/>
  <c r="B6253" i="1"/>
  <c r="A6254" i="1"/>
  <c r="B6254" i="1"/>
  <c r="A6255" i="1"/>
  <c r="B6255" i="1"/>
  <c r="A6256" i="1"/>
  <c r="B6256" i="1"/>
  <c r="A6257" i="1"/>
  <c r="A6258" i="1"/>
  <c r="A6259" i="1"/>
  <c r="A6260" i="1"/>
  <c r="A6261" i="1"/>
  <c r="A6262" i="1"/>
  <c r="A6263" i="1"/>
  <c r="B6263" i="1"/>
  <c r="A6264" i="1"/>
  <c r="B6264" i="1"/>
  <c r="A6265" i="1"/>
  <c r="B6265" i="1"/>
  <c r="A6266" i="1"/>
  <c r="A6267" i="1"/>
  <c r="A6268" i="1"/>
  <c r="B6268" i="1"/>
  <c r="A6269" i="1"/>
  <c r="A6270" i="1"/>
  <c r="A6271" i="1"/>
  <c r="B6271" i="1"/>
  <c r="A6272" i="1"/>
  <c r="B6272" i="1"/>
  <c r="A6273" i="1"/>
  <c r="B6273" i="1"/>
  <c r="A6274" i="1"/>
  <c r="B6274" i="1"/>
  <c r="A6275" i="1"/>
  <c r="B6275" i="1"/>
  <c r="A6276" i="1"/>
  <c r="B6276" i="1"/>
  <c r="A6277" i="1"/>
  <c r="B6277" i="1"/>
  <c r="A6278" i="1"/>
  <c r="A6279" i="1"/>
  <c r="B6279" i="1"/>
  <c r="A6280" i="1"/>
  <c r="B6280" i="1"/>
  <c r="A6281" i="1"/>
  <c r="B6281" i="1"/>
  <c r="A6282" i="1"/>
  <c r="A6283" i="1"/>
  <c r="B6283" i="1"/>
  <c r="A6284" i="1"/>
  <c r="A6285" i="1"/>
  <c r="B6285" i="1"/>
  <c r="A6286" i="1"/>
  <c r="A6287" i="1"/>
  <c r="B6287" i="1"/>
  <c r="A6288" i="1"/>
  <c r="B6288" i="1"/>
  <c r="A6289" i="1"/>
  <c r="B6289" i="1"/>
  <c r="A6290" i="1"/>
  <c r="B6290" i="1"/>
  <c r="A6291" i="1"/>
  <c r="B6291" i="1"/>
  <c r="A6292" i="1"/>
  <c r="B6292" i="1"/>
  <c r="A6293" i="1"/>
  <c r="B6293" i="1"/>
  <c r="A6294" i="1"/>
  <c r="B6294" i="1"/>
  <c r="A6295" i="1"/>
  <c r="B6295" i="1"/>
  <c r="A6296" i="1"/>
  <c r="B6296" i="1"/>
  <c r="A6297" i="1"/>
  <c r="A6298" i="1"/>
  <c r="A6299" i="1"/>
  <c r="A6300" i="1"/>
  <c r="A6301" i="1"/>
  <c r="B6301" i="1"/>
  <c r="A6302" i="1"/>
  <c r="B6302" i="1"/>
  <c r="A6303" i="1"/>
  <c r="A6304" i="1"/>
  <c r="B6304" i="1"/>
  <c r="A6305" i="1"/>
  <c r="B6305" i="1"/>
  <c r="A6306" i="1"/>
  <c r="B6306" i="1"/>
  <c r="A6307" i="1"/>
  <c r="B6307" i="1"/>
  <c r="A6308" i="1"/>
  <c r="B6308" i="1"/>
  <c r="A6309" i="1"/>
  <c r="B6309" i="1"/>
  <c r="A6310" i="1"/>
  <c r="B6310" i="1"/>
  <c r="A6311" i="1"/>
  <c r="B6311" i="1"/>
  <c r="A6312" i="1"/>
  <c r="B6312" i="1"/>
  <c r="A6313" i="1"/>
  <c r="B6313" i="1"/>
  <c r="A6314" i="1"/>
  <c r="A6315" i="1"/>
  <c r="A6316" i="1"/>
  <c r="B6316" i="1"/>
  <c r="A6317" i="1"/>
  <c r="B6317" i="1"/>
  <c r="A6318" i="1"/>
  <c r="B6318" i="1"/>
  <c r="A6319" i="1"/>
  <c r="A6320" i="1"/>
  <c r="B6320" i="1"/>
  <c r="A6321" i="1"/>
  <c r="A6322" i="1"/>
  <c r="B6322" i="1"/>
  <c r="A6323" i="1"/>
  <c r="A6324" i="1"/>
  <c r="B6324" i="1"/>
  <c r="A6325" i="1"/>
  <c r="B6325" i="1"/>
  <c r="A6326" i="1"/>
  <c r="A6327" i="1"/>
  <c r="B6327" i="1"/>
  <c r="A6328" i="1"/>
  <c r="A6329" i="1"/>
  <c r="B6329" i="1"/>
  <c r="A6330" i="1"/>
  <c r="B6330" i="1"/>
  <c r="A6331" i="1"/>
  <c r="B6331" i="1"/>
  <c r="A6332" i="1"/>
  <c r="B6332" i="1"/>
  <c r="A6333" i="1"/>
  <c r="B6333" i="1"/>
  <c r="A6334" i="1"/>
  <c r="B6334" i="1"/>
  <c r="A6335" i="1"/>
  <c r="A6336" i="1"/>
  <c r="B6336" i="1"/>
  <c r="A6337" i="1"/>
  <c r="B6337" i="1"/>
  <c r="A6338" i="1"/>
  <c r="A6339" i="1"/>
  <c r="B6339" i="1"/>
  <c r="A6340" i="1"/>
  <c r="A6341" i="1"/>
  <c r="A6342" i="1"/>
  <c r="A6343" i="1"/>
  <c r="B6343" i="1"/>
  <c r="A6344" i="1"/>
  <c r="B6344" i="1"/>
  <c r="A6345" i="1"/>
  <c r="B6345" i="1"/>
  <c r="A6346" i="1"/>
  <c r="A6347" i="1"/>
  <c r="A6348" i="1"/>
  <c r="A6349" i="1"/>
  <c r="B6349" i="1"/>
  <c r="A6350" i="1"/>
  <c r="B6350" i="1"/>
  <c r="A6351" i="1"/>
  <c r="B6351" i="1"/>
  <c r="A6352" i="1"/>
  <c r="B6352" i="1"/>
  <c r="A6353" i="1"/>
  <c r="B6353" i="1"/>
  <c r="A6354" i="1"/>
  <c r="B6354" i="1"/>
  <c r="A6355" i="1"/>
  <c r="A6356" i="1"/>
  <c r="B6356" i="1"/>
  <c r="A6357" i="1"/>
  <c r="B6357" i="1"/>
  <c r="A6358" i="1"/>
  <c r="B6358" i="1"/>
  <c r="A6359" i="1"/>
  <c r="B6359" i="1"/>
  <c r="A6360" i="1"/>
  <c r="A6361" i="1"/>
  <c r="B6361" i="1"/>
  <c r="A6362" i="1"/>
  <c r="B6362" i="1"/>
  <c r="A6363" i="1"/>
  <c r="B6363" i="1"/>
  <c r="A6364" i="1"/>
  <c r="A6365" i="1"/>
  <c r="A6366" i="1"/>
  <c r="B6366" i="1"/>
  <c r="A6367" i="1"/>
  <c r="B6367" i="1"/>
  <c r="A6368" i="1"/>
  <c r="A6369" i="1"/>
  <c r="B6369" i="1"/>
  <c r="A6370" i="1"/>
  <c r="A6371" i="1"/>
  <c r="A6372" i="1"/>
  <c r="A6373" i="1"/>
  <c r="A6374" i="1"/>
  <c r="A6375" i="1"/>
  <c r="B6375" i="1"/>
  <c r="A6376" i="1"/>
  <c r="B6376" i="1"/>
  <c r="A6377" i="1"/>
  <c r="B6377" i="1"/>
  <c r="A6378" i="1"/>
  <c r="B6378" i="1"/>
  <c r="A6379" i="1"/>
  <c r="B6379" i="1"/>
  <c r="A6380" i="1"/>
  <c r="B6380" i="1"/>
  <c r="A6381" i="1"/>
  <c r="B6381" i="1"/>
  <c r="A6382" i="1"/>
  <c r="B6382" i="1"/>
  <c r="A6383" i="1"/>
  <c r="B6383" i="1"/>
  <c r="A6384" i="1"/>
  <c r="B6384" i="1"/>
  <c r="A6385" i="1"/>
  <c r="B6385" i="1"/>
  <c r="A6386" i="1"/>
  <c r="A6387" i="1"/>
  <c r="B6387" i="1"/>
  <c r="A6388" i="1"/>
  <c r="B6388" i="1"/>
  <c r="A6389" i="1"/>
  <c r="B6389" i="1"/>
  <c r="A6390" i="1"/>
  <c r="B6390" i="1"/>
  <c r="A6391" i="1"/>
  <c r="B6391" i="1"/>
  <c r="A6392" i="1"/>
  <c r="B6392" i="1"/>
  <c r="A6393" i="1"/>
  <c r="A6394" i="1"/>
  <c r="B6394" i="1"/>
  <c r="A6395" i="1"/>
  <c r="A6396" i="1"/>
  <c r="B6396" i="1"/>
  <c r="A6397" i="1"/>
  <c r="A6398" i="1"/>
  <c r="A6399" i="1"/>
  <c r="B6399" i="1"/>
  <c r="A6400" i="1"/>
  <c r="B6400" i="1"/>
  <c r="A6401" i="1"/>
  <c r="B6401" i="1"/>
  <c r="A6402" i="1"/>
  <c r="A6403" i="1"/>
  <c r="B6403" i="1"/>
  <c r="A6404" i="1"/>
  <c r="B6404" i="1"/>
  <c r="A6405" i="1"/>
  <c r="B6405" i="1"/>
  <c r="A6406" i="1"/>
  <c r="B6406" i="1"/>
  <c r="A6407" i="1"/>
  <c r="A6408" i="1"/>
  <c r="B6408" i="1"/>
  <c r="A6409" i="1"/>
  <c r="B6409" i="1"/>
  <c r="A6410" i="1"/>
  <c r="B6410" i="1"/>
  <c r="A6411" i="1"/>
  <c r="A6412" i="1"/>
  <c r="A6413" i="1"/>
  <c r="A6414" i="1"/>
  <c r="B6414" i="1"/>
  <c r="A6415" i="1"/>
  <c r="B6415" i="1"/>
  <c r="A6416" i="1"/>
  <c r="B6416" i="1"/>
  <c r="A6417" i="1"/>
  <c r="B6417" i="1"/>
  <c r="A6418" i="1"/>
  <c r="B6418" i="1"/>
  <c r="A6419" i="1"/>
  <c r="B6419" i="1"/>
  <c r="A6420" i="1"/>
  <c r="B6420" i="1"/>
  <c r="A6421" i="1"/>
  <c r="B6421" i="1"/>
  <c r="A6422" i="1"/>
  <c r="A6423" i="1"/>
  <c r="B6423" i="1"/>
  <c r="A6424" i="1"/>
  <c r="B6424" i="1"/>
  <c r="A6425" i="1"/>
  <c r="A6426" i="1"/>
  <c r="B6426" i="1"/>
  <c r="A6427" i="1"/>
  <c r="B6427" i="1"/>
  <c r="A6428" i="1"/>
  <c r="B6428" i="1"/>
  <c r="A6429" i="1"/>
  <c r="B6429" i="1"/>
  <c r="A6430" i="1"/>
  <c r="B6430" i="1"/>
  <c r="A6431" i="1"/>
  <c r="B6431" i="1"/>
  <c r="A6432" i="1"/>
  <c r="A6433" i="1"/>
  <c r="A6434" i="1"/>
  <c r="A6435" i="1"/>
  <c r="B6435" i="1"/>
  <c r="A6436" i="1"/>
  <c r="B6436" i="1"/>
  <c r="A6437" i="1"/>
  <c r="B6437" i="1"/>
  <c r="A6438" i="1"/>
  <c r="B6438" i="1"/>
  <c r="A6439" i="1"/>
  <c r="B6439" i="1"/>
  <c r="A6440" i="1"/>
  <c r="A6441" i="1"/>
  <c r="A6442" i="1"/>
  <c r="A6443" i="1"/>
  <c r="B6443" i="1"/>
  <c r="A6444" i="1"/>
  <c r="B6444" i="1"/>
  <c r="A6445" i="1"/>
  <c r="B6445" i="1"/>
  <c r="A6446" i="1"/>
  <c r="B6446" i="1"/>
  <c r="A6447" i="1"/>
  <c r="B6447" i="1"/>
  <c r="A6448" i="1"/>
  <c r="B6448" i="1"/>
  <c r="A6449" i="1"/>
  <c r="B6449" i="1"/>
  <c r="A6450" i="1"/>
  <c r="B6450" i="1"/>
  <c r="A6451" i="1"/>
  <c r="B6451" i="1"/>
  <c r="A6452" i="1"/>
  <c r="B6452" i="1"/>
  <c r="A6453" i="1"/>
  <c r="B6453" i="1"/>
  <c r="A6454" i="1"/>
  <c r="B6454" i="1"/>
  <c r="A6455" i="1"/>
  <c r="B6455" i="1"/>
  <c r="A6456" i="1"/>
  <c r="A6457" i="1"/>
  <c r="B6457" i="1"/>
  <c r="A6458" i="1"/>
  <c r="B6458" i="1"/>
  <c r="A6459" i="1"/>
  <c r="B6459" i="1"/>
  <c r="A6460" i="1"/>
  <c r="B6460" i="1"/>
  <c r="A6461" i="1"/>
  <c r="A6462" i="1"/>
  <c r="B6462" i="1"/>
  <c r="A6463" i="1"/>
  <c r="B6463" i="1"/>
  <c r="A6464" i="1"/>
  <c r="B6464" i="1"/>
  <c r="A6465" i="1"/>
  <c r="B6465" i="1"/>
  <c r="A6466" i="1"/>
  <c r="B6466" i="1"/>
  <c r="A6467" i="1"/>
  <c r="A6468" i="1"/>
  <c r="B6468" i="1"/>
  <c r="A6469" i="1"/>
  <c r="B6469" i="1"/>
  <c r="A6470" i="1"/>
  <c r="B6470" i="1"/>
  <c r="A6471" i="1"/>
  <c r="B6471" i="1"/>
  <c r="A6472" i="1"/>
  <c r="B6472" i="1"/>
  <c r="A6473" i="1"/>
  <c r="B6473" i="1"/>
  <c r="A6474" i="1"/>
  <c r="B6474" i="1"/>
  <c r="A6475" i="1"/>
  <c r="B6475" i="1"/>
  <c r="A6476" i="1"/>
  <c r="B6476" i="1"/>
  <c r="A6477" i="1"/>
  <c r="B6477" i="1"/>
  <c r="A6478" i="1"/>
  <c r="A6479" i="1"/>
  <c r="B6479" i="1"/>
  <c r="A6480" i="1"/>
  <c r="A6481" i="1"/>
  <c r="B6481" i="1"/>
  <c r="A6482" i="1"/>
  <c r="B6482" i="1"/>
  <c r="A6483" i="1"/>
  <c r="A6484" i="1"/>
  <c r="B6484" i="1"/>
  <c r="A6485" i="1"/>
  <c r="B6485" i="1"/>
  <c r="A6486" i="1"/>
  <c r="A6487" i="1"/>
  <c r="B6487" i="1"/>
  <c r="A6488" i="1"/>
  <c r="A6489" i="1"/>
  <c r="B6489" i="1"/>
  <c r="A6490" i="1"/>
  <c r="A6491" i="1"/>
  <c r="B6491" i="1"/>
  <c r="A6492" i="1"/>
  <c r="B6492" i="1"/>
  <c r="A6493" i="1"/>
  <c r="B6493" i="1"/>
  <c r="A6494" i="1"/>
  <c r="B6494" i="1"/>
  <c r="A6495" i="1"/>
  <c r="B6495" i="1"/>
  <c r="A6496" i="1"/>
  <c r="B6496" i="1"/>
  <c r="A6497" i="1"/>
  <c r="B6497" i="1"/>
  <c r="A6498" i="1"/>
  <c r="B6498" i="1"/>
  <c r="A6499" i="1"/>
  <c r="B6499" i="1"/>
  <c r="A6500" i="1"/>
  <c r="A6501" i="1"/>
  <c r="A6502" i="1"/>
  <c r="B6502" i="1"/>
  <c r="A6503" i="1"/>
  <c r="B6503" i="1"/>
  <c r="A6504" i="1"/>
  <c r="A6505" i="1"/>
  <c r="B6505" i="1"/>
  <c r="A6506" i="1"/>
  <c r="A6507" i="1"/>
  <c r="B6507" i="1"/>
  <c r="A6508" i="1"/>
  <c r="B6508" i="1"/>
  <c r="A6509" i="1"/>
  <c r="A6510" i="1"/>
  <c r="B6510" i="1"/>
  <c r="A6511" i="1"/>
  <c r="B6511" i="1"/>
  <c r="A6512" i="1"/>
  <c r="B6512" i="1"/>
  <c r="A6513" i="1"/>
  <c r="A6514" i="1"/>
  <c r="B6514" i="1"/>
  <c r="A6515" i="1"/>
  <c r="B6515" i="1"/>
  <c r="A6516" i="1"/>
  <c r="B6516" i="1"/>
  <c r="A6517" i="1"/>
  <c r="B6517" i="1"/>
  <c r="A6518" i="1"/>
  <c r="B6518" i="1"/>
  <c r="A6519" i="1"/>
  <c r="A6520" i="1"/>
  <c r="A6521" i="1"/>
  <c r="A6522" i="1"/>
  <c r="B6522" i="1"/>
  <c r="A6523" i="1"/>
  <c r="A6524" i="1"/>
  <c r="B6524" i="1"/>
  <c r="A6525" i="1"/>
  <c r="B6525" i="1"/>
  <c r="A6526" i="1"/>
  <c r="B6526" i="1"/>
  <c r="A6527" i="1"/>
  <c r="B6527" i="1"/>
  <c r="A6528" i="1"/>
  <c r="A6529" i="1"/>
  <c r="B6529" i="1"/>
  <c r="A6530" i="1"/>
  <c r="B6530" i="1"/>
  <c r="A6531" i="1"/>
  <c r="B6531" i="1"/>
  <c r="A6532" i="1"/>
  <c r="B6532" i="1"/>
  <c r="A6533" i="1"/>
  <c r="B6533" i="1"/>
  <c r="A6534" i="1"/>
  <c r="B6534" i="1"/>
  <c r="A6535" i="1"/>
  <c r="B6535" i="1"/>
  <c r="A6536" i="1"/>
  <c r="B6536" i="1"/>
  <c r="A6537" i="1"/>
  <c r="B6537" i="1"/>
  <c r="A6538" i="1"/>
  <c r="A6539" i="1"/>
  <c r="B6539" i="1"/>
  <c r="A6540" i="1"/>
  <c r="B6540" i="1"/>
  <c r="A6541" i="1"/>
  <c r="B6541" i="1"/>
  <c r="A6542" i="1"/>
  <c r="B6542" i="1"/>
  <c r="A6543" i="1"/>
  <c r="B6543" i="1"/>
  <c r="A6544" i="1"/>
  <c r="A6545" i="1"/>
  <c r="B6545" i="1"/>
  <c r="A6546" i="1"/>
  <c r="B6546" i="1"/>
  <c r="A6547" i="1"/>
  <c r="B6547" i="1"/>
  <c r="A6548" i="1"/>
  <c r="B6548" i="1"/>
  <c r="A6549" i="1"/>
  <c r="A6550" i="1"/>
  <c r="B6550" i="1"/>
  <c r="A6551" i="1"/>
  <c r="B6551" i="1"/>
  <c r="A6552" i="1"/>
  <c r="B6552" i="1"/>
  <c r="A6553" i="1"/>
  <c r="B6553" i="1"/>
  <c r="A6554" i="1"/>
  <c r="B6554" i="1"/>
  <c r="A6555" i="1"/>
  <c r="B6555" i="1"/>
  <c r="A6556" i="1"/>
  <c r="A6557" i="1"/>
  <c r="A6558" i="1"/>
  <c r="B6558" i="1"/>
  <c r="A6559" i="1"/>
  <c r="B6559" i="1"/>
  <c r="A6560" i="1"/>
  <c r="B6560" i="1"/>
  <c r="A6561" i="1"/>
  <c r="A6562" i="1"/>
  <c r="A6563" i="1"/>
  <c r="B6563" i="1"/>
  <c r="A6564" i="1"/>
  <c r="B6564" i="1"/>
  <c r="A6565" i="1"/>
  <c r="B6565" i="1"/>
  <c r="A6566" i="1"/>
  <c r="B6566" i="1"/>
  <c r="A6567" i="1"/>
  <c r="B6567" i="1"/>
  <c r="A6568" i="1"/>
  <c r="B6568" i="1"/>
  <c r="A6569" i="1"/>
  <c r="B6569" i="1"/>
  <c r="A6570" i="1"/>
  <c r="A6571" i="1"/>
  <c r="B6571" i="1"/>
  <c r="A6572" i="1"/>
  <c r="B6572" i="1"/>
  <c r="A6573" i="1"/>
  <c r="B6573" i="1"/>
  <c r="A6574" i="1"/>
  <c r="A6575" i="1"/>
  <c r="B6575" i="1"/>
  <c r="A6576" i="1"/>
  <c r="B6576" i="1"/>
  <c r="A6577" i="1"/>
  <c r="B6577" i="1"/>
  <c r="A6578" i="1"/>
  <c r="B6578" i="1"/>
  <c r="A6579" i="1"/>
  <c r="B6579" i="1"/>
  <c r="A6580" i="1"/>
  <c r="A6581" i="1"/>
  <c r="B6581" i="1"/>
  <c r="A6582" i="1"/>
  <c r="B6582" i="1"/>
  <c r="A6583" i="1"/>
  <c r="A6584" i="1"/>
  <c r="B6584" i="1"/>
  <c r="A6585" i="1"/>
  <c r="B6585" i="1"/>
  <c r="A6586" i="1"/>
  <c r="B6586" i="1"/>
  <c r="A6587" i="1"/>
  <c r="B6587" i="1"/>
  <c r="A6588" i="1"/>
  <c r="B6588" i="1"/>
  <c r="A6589" i="1"/>
  <c r="B6589" i="1"/>
  <c r="A6590" i="1"/>
  <c r="B6590" i="1"/>
  <c r="A6591" i="1"/>
  <c r="A6592" i="1"/>
  <c r="B6592" i="1"/>
  <c r="A6593" i="1"/>
  <c r="B6593" i="1"/>
  <c r="A6594" i="1"/>
  <c r="B6594" i="1"/>
  <c r="A6595" i="1"/>
  <c r="A6596" i="1"/>
  <c r="B6596" i="1"/>
  <c r="A6597" i="1"/>
  <c r="B6597" i="1"/>
  <c r="A6598" i="1"/>
  <c r="A6599" i="1"/>
  <c r="A6600" i="1"/>
  <c r="B6600" i="1"/>
  <c r="A6601" i="1"/>
  <c r="A6602" i="1"/>
  <c r="A6603" i="1"/>
  <c r="B6603" i="1"/>
  <c r="A6604" i="1"/>
  <c r="B6604" i="1"/>
  <c r="A6605" i="1"/>
  <c r="A6606" i="1"/>
  <c r="A6607" i="1"/>
  <c r="B6607" i="1"/>
  <c r="A6608" i="1"/>
  <c r="B6608" i="1"/>
  <c r="A6609" i="1"/>
  <c r="B6609" i="1"/>
  <c r="A6610" i="1"/>
  <c r="B6610" i="1"/>
  <c r="A6611" i="1"/>
  <c r="B6611" i="1"/>
  <c r="A6612" i="1"/>
  <c r="B6612" i="1"/>
  <c r="A6613" i="1"/>
  <c r="A6614" i="1"/>
  <c r="A6615" i="1"/>
  <c r="A6616" i="1"/>
  <c r="A6617" i="1"/>
  <c r="A6618" i="1"/>
  <c r="A6619" i="1"/>
  <c r="B6619" i="1"/>
  <c r="A6620" i="1"/>
  <c r="B6620" i="1"/>
  <c r="A6621" i="1"/>
  <c r="B6621" i="1"/>
  <c r="A6622" i="1"/>
  <c r="B6622" i="1"/>
  <c r="A6623" i="1"/>
  <c r="B6623" i="1"/>
  <c r="A6624" i="1"/>
  <c r="A6625" i="1"/>
  <c r="B6625" i="1"/>
  <c r="A6626" i="1"/>
  <c r="B6626" i="1"/>
  <c r="A6627" i="1"/>
  <c r="B6627" i="1"/>
  <c r="A6628" i="1"/>
  <c r="B6628" i="1"/>
  <c r="A6629" i="1"/>
  <c r="B6629" i="1"/>
  <c r="A6630" i="1"/>
  <c r="B6630" i="1"/>
  <c r="A6631" i="1"/>
  <c r="B6631" i="1"/>
  <c r="A6632" i="1"/>
  <c r="B6632" i="1"/>
  <c r="A6633" i="1"/>
  <c r="B6633" i="1"/>
  <c r="A6634" i="1"/>
  <c r="B6634" i="1"/>
  <c r="A6635" i="1"/>
  <c r="B6635" i="1"/>
  <c r="A6636" i="1"/>
  <c r="B6636" i="1"/>
  <c r="A6637" i="1"/>
  <c r="A6638" i="1"/>
  <c r="A6639" i="1"/>
  <c r="B6639" i="1"/>
  <c r="A6640" i="1"/>
  <c r="B6640" i="1"/>
  <c r="A6641" i="1"/>
  <c r="A6642" i="1"/>
  <c r="B6642" i="1"/>
  <c r="A6643" i="1"/>
  <c r="B6643" i="1"/>
  <c r="A6644" i="1"/>
  <c r="B6644" i="1"/>
  <c r="A6645" i="1"/>
  <c r="A6646" i="1"/>
  <c r="A6647" i="1"/>
  <c r="B6647" i="1"/>
  <c r="A6648" i="1"/>
  <c r="A6649" i="1"/>
  <c r="B6649" i="1"/>
  <c r="A6650" i="1"/>
  <c r="A6651" i="1"/>
  <c r="B6651" i="1"/>
  <c r="A6652" i="1"/>
  <c r="B6652" i="1"/>
  <c r="A6653" i="1"/>
  <c r="A6654" i="1"/>
  <c r="B6654" i="1"/>
  <c r="A6655" i="1"/>
  <c r="B6655" i="1"/>
  <c r="A6656" i="1"/>
  <c r="B6656" i="1"/>
  <c r="A6657" i="1"/>
  <c r="B6657" i="1"/>
  <c r="A6658" i="1"/>
  <c r="A6659" i="1"/>
  <c r="B6659" i="1"/>
  <c r="A6660" i="1"/>
  <c r="B6660" i="1"/>
  <c r="A6661" i="1"/>
  <c r="B6661" i="1"/>
  <c r="A6662" i="1"/>
  <c r="B6662" i="1"/>
  <c r="A6663" i="1"/>
  <c r="B6663" i="1"/>
  <c r="A6664" i="1"/>
  <c r="B6664" i="1"/>
  <c r="A6665" i="1"/>
  <c r="B6665" i="1"/>
  <c r="A6666" i="1"/>
  <c r="B6666" i="1"/>
  <c r="A6667" i="1"/>
  <c r="B6667" i="1"/>
  <c r="A6668" i="1"/>
  <c r="A6669" i="1"/>
  <c r="B6669" i="1"/>
  <c r="A6670" i="1"/>
  <c r="B6670" i="1"/>
  <c r="A6671" i="1"/>
  <c r="B6671" i="1"/>
  <c r="A6672" i="1"/>
  <c r="B6672" i="1"/>
  <c r="A6673" i="1"/>
  <c r="B6673" i="1"/>
  <c r="A6674" i="1"/>
  <c r="B6674" i="1"/>
  <c r="A6675" i="1"/>
  <c r="B6675" i="1"/>
  <c r="A6676" i="1"/>
  <c r="B6676" i="1"/>
  <c r="A6677" i="1"/>
  <c r="B6677" i="1"/>
  <c r="A6678" i="1"/>
  <c r="B6678" i="1"/>
  <c r="A6679" i="1"/>
  <c r="B6679" i="1"/>
  <c r="A6680" i="1"/>
  <c r="B6680" i="1"/>
  <c r="A6681" i="1"/>
  <c r="B6681" i="1"/>
  <c r="A6682" i="1"/>
  <c r="B6682" i="1"/>
  <c r="A6683" i="1"/>
  <c r="B6683" i="1"/>
  <c r="A6684" i="1"/>
  <c r="B6684" i="1"/>
  <c r="A6685" i="1"/>
  <c r="A6686" i="1"/>
  <c r="B6686" i="1"/>
  <c r="A6687" i="1"/>
  <c r="A6688" i="1"/>
  <c r="B6688" i="1"/>
  <c r="A6689" i="1"/>
  <c r="B6689" i="1"/>
  <c r="A6690" i="1"/>
  <c r="B6690" i="1"/>
  <c r="A6691" i="1"/>
  <c r="A6692" i="1"/>
  <c r="A6693" i="1"/>
  <c r="A6694" i="1"/>
  <c r="A6695" i="1"/>
  <c r="B6695" i="1"/>
  <c r="A6696" i="1"/>
  <c r="B6696" i="1"/>
  <c r="A6697" i="1"/>
  <c r="B6697" i="1"/>
  <c r="A6698" i="1"/>
  <c r="B6698" i="1"/>
  <c r="A6699" i="1"/>
  <c r="B6699" i="1"/>
  <c r="A6700" i="1"/>
  <c r="A6701" i="1"/>
  <c r="A6702" i="1"/>
  <c r="B6702" i="1"/>
  <c r="A6703" i="1"/>
  <c r="B6703" i="1"/>
  <c r="A6704" i="1"/>
  <c r="B6704" i="1"/>
  <c r="A6705" i="1"/>
  <c r="B6705" i="1"/>
  <c r="A6706" i="1"/>
  <c r="B6706" i="1"/>
  <c r="A6707" i="1"/>
  <c r="B6707" i="1"/>
  <c r="A6708" i="1"/>
  <c r="B6708" i="1"/>
  <c r="A6709" i="1"/>
  <c r="A6710" i="1"/>
  <c r="B6710" i="1"/>
  <c r="A6711" i="1"/>
  <c r="A6712" i="1"/>
  <c r="B6712" i="1"/>
  <c r="A6713" i="1"/>
  <c r="B6713" i="1"/>
  <c r="A6714" i="1"/>
  <c r="B6714" i="1"/>
  <c r="A6715" i="1"/>
  <c r="B6715" i="1"/>
  <c r="A6716" i="1"/>
  <c r="B6716" i="1"/>
  <c r="A6717" i="1"/>
  <c r="B6717" i="1"/>
  <c r="A6718" i="1"/>
  <c r="B6718" i="1"/>
  <c r="A6719" i="1"/>
  <c r="B6719" i="1"/>
  <c r="A6720" i="1"/>
  <c r="A6721" i="1"/>
  <c r="B6721" i="1"/>
  <c r="A6722" i="1"/>
  <c r="A6723" i="1"/>
  <c r="B6723" i="1"/>
  <c r="A6724" i="1"/>
  <c r="B6724" i="1"/>
  <c r="A6725" i="1"/>
  <c r="B6725" i="1"/>
  <c r="A6726" i="1"/>
  <c r="B6726" i="1"/>
  <c r="A6727" i="1"/>
  <c r="B6727" i="1"/>
  <c r="A6728" i="1"/>
  <c r="B6728" i="1"/>
  <c r="A6729" i="1"/>
  <c r="B6729" i="1"/>
  <c r="A6730" i="1"/>
  <c r="A6731" i="1"/>
  <c r="A6732" i="1"/>
  <c r="B6732" i="1"/>
  <c r="A6733" i="1"/>
  <c r="B6733" i="1"/>
  <c r="A6734" i="1"/>
  <c r="B6734" i="1"/>
  <c r="A6735" i="1"/>
  <c r="B6735" i="1"/>
  <c r="A6736" i="1"/>
  <c r="A6737" i="1"/>
  <c r="B6737" i="1"/>
  <c r="A6738" i="1"/>
  <c r="B6738" i="1"/>
  <c r="A6739" i="1"/>
  <c r="A6740" i="1"/>
  <c r="B6740" i="1"/>
  <c r="A6741" i="1"/>
  <c r="B6741" i="1"/>
  <c r="A6742" i="1"/>
  <c r="B6742" i="1"/>
  <c r="A6743" i="1"/>
  <c r="B6743" i="1"/>
  <c r="A6744" i="1"/>
  <c r="B6744" i="1"/>
  <c r="A6745" i="1"/>
  <c r="B6745" i="1"/>
  <c r="A6746" i="1"/>
  <c r="B6746" i="1"/>
  <c r="A6747" i="1"/>
  <c r="B6747" i="1"/>
  <c r="A6748" i="1"/>
  <c r="B6748" i="1"/>
  <c r="A6749" i="1"/>
  <c r="B6749" i="1"/>
  <c r="A6750" i="1"/>
  <c r="A6751" i="1"/>
  <c r="A6752" i="1"/>
  <c r="B6752" i="1"/>
  <c r="A6753" i="1"/>
  <c r="B6753" i="1"/>
  <c r="A6754" i="1"/>
  <c r="A6755" i="1"/>
  <c r="B6755" i="1"/>
  <c r="A6756" i="1"/>
  <c r="B6756" i="1"/>
  <c r="A6757" i="1"/>
  <c r="B6757" i="1"/>
  <c r="A6758" i="1"/>
  <c r="A6759" i="1"/>
  <c r="A6760" i="1"/>
  <c r="A6761" i="1"/>
  <c r="B6761" i="1"/>
  <c r="A6762" i="1"/>
  <c r="A6763" i="1"/>
  <c r="A6764" i="1"/>
  <c r="B6764" i="1"/>
  <c r="A6765" i="1"/>
  <c r="B6765" i="1"/>
  <c r="A6766" i="1"/>
  <c r="B6766" i="1"/>
  <c r="A6767" i="1"/>
  <c r="B6767" i="1"/>
  <c r="A6768" i="1"/>
  <c r="B6768" i="1"/>
  <c r="A6769" i="1"/>
  <c r="B6769" i="1"/>
  <c r="A6770" i="1"/>
  <c r="A6771" i="1"/>
  <c r="A6772" i="1"/>
  <c r="B6772" i="1"/>
  <c r="A6773" i="1"/>
  <c r="B6773" i="1"/>
  <c r="A6774" i="1"/>
  <c r="A6775" i="1"/>
  <c r="A6776" i="1"/>
  <c r="B6776" i="1"/>
  <c r="A6777" i="1"/>
  <c r="A6778" i="1"/>
  <c r="A6779" i="1"/>
  <c r="A6780" i="1"/>
  <c r="B6780" i="1"/>
  <c r="A6781" i="1"/>
  <c r="B6781" i="1"/>
  <c r="A6782" i="1"/>
  <c r="B6782" i="1"/>
  <c r="A6783" i="1"/>
  <c r="B6783" i="1"/>
  <c r="A6784" i="1"/>
  <c r="B6784" i="1"/>
  <c r="A6785" i="1"/>
  <c r="A6786" i="1"/>
  <c r="B6786" i="1"/>
  <c r="A6787" i="1"/>
  <c r="A6788" i="1"/>
  <c r="B6788" i="1"/>
  <c r="A6789" i="1"/>
  <c r="B6789" i="1"/>
  <c r="A6790" i="1"/>
  <c r="A6791" i="1"/>
  <c r="B6791" i="1"/>
  <c r="A6792" i="1"/>
  <c r="B6792" i="1"/>
  <c r="A6793" i="1"/>
  <c r="B6793" i="1"/>
  <c r="A6794" i="1"/>
  <c r="B6794" i="1"/>
  <c r="A6795" i="1"/>
  <c r="B6795" i="1"/>
  <c r="A6796" i="1"/>
  <c r="A6797" i="1"/>
  <c r="A6798" i="1"/>
  <c r="A6799" i="1"/>
  <c r="A6800" i="1"/>
  <c r="B6800" i="1"/>
  <c r="A6801" i="1"/>
  <c r="B6801" i="1"/>
  <c r="A6802" i="1"/>
  <c r="B6802" i="1"/>
  <c r="A6803" i="1"/>
  <c r="B6803" i="1"/>
  <c r="A6804" i="1"/>
  <c r="B6804" i="1"/>
  <c r="A6805" i="1"/>
  <c r="B6805" i="1"/>
  <c r="A6806" i="1"/>
  <c r="B6806" i="1"/>
  <c r="A6807" i="1"/>
  <c r="B6807" i="1"/>
  <c r="A6808" i="1"/>
  <c r="B6808" i="1"/>
  <c r="A6809" i="1"/>
  <c r="B6809" i="1"/>
  <c r="A6810" i="1"/>
  <c r="B6810" i="1"/>
  <c r="A6811" i="1"/>
  <c r="B6811" i="1"/>
  <c r="A6812" i="1"/>
  <c r="B6812" i="1"/>
  <c r="A6813" i="1"/>
  <c r="B6813" i="1"/>
  <c r="A6814" i="1"/>
  <c r="A6815" i="1"/>
  <c r="B6815" i="1"/>
  <c r="A6816" i="1"/>
  <c r="B6816" i="1"/>
  <c r="A6817" i="1"/>
  <c r="B6817" i="1"/>
  <c r="A6818" i="1"/>
  <c r="B6818" i="1"/>
  <c r="A6819" i="1"/>
  <c r="B6819" i="1"/>
  <c r="A6820" i="1"/>
  <c r="A6821" i="1"/>
  <c r="A6822" i="1"/>
  <c r="A6823" i="1"/>
  <c r="B6823" i="1"/>
  <c r="A6824" i="1"/>
  <c r="B6824" i="1"/>
  <c r="A6825" i="1"/>
  <c r="B6825" i="1"/>
  <c r="A6826" i="1"/>
  <c r="B6826" i="1"/>
  <c r="A6827" i="1"/>
  <c r="B6827" i="1"/>
  <c r="A6828" i="1"/>
  <c r="B6828" i="1"/>
  <c r="A6829" i="1"/>
  <c r="A6830" i="1"/>
  <c r="A6831" i="1"/>
  <c r="B6831" i="1"/>
  <c r="A6832" i="1"/>
  <c r="B6832" i="1"/>
  <c r="A6833" i="1"/>
  <c r="A6834" i="1"/>
  <c r="B6834" i="1"/>
  <c r="A6835" i="1"/>
  <c r="A6836" i="1"/>
  <c r="A6837" i="1"/>
  <c r="A6838" i="1"/>
  <c r="A6839" i="1"/>
  <c r="A6840" i="1"/>
  <c r="A6841" i="1"/>
  <c r="B6841" i="1"/>
  <c r="A6842" i="1"/>
  <c r="B6842" i="1"/>
  <c r="A6843" i="1"/>
  <c r="B6843" i="1"/>
  <c r="A6844" i="1"/>
  <c r="B6844" i="1"/>
  <c r="A6845" i="1"/>
  <c r="A6846" i="1"/>
  <c r="A6847" i="1"/>
  <c r="A6848" i="1"/>
  <c r="A6849" i="1"/>
  <c r="B6849" i="1"/>
  <c r="A6850" i="1"/>
  <c r="B6850" i="1"/>
  <c r="A6851" i="1"/>
  <c r="A6852" i="1"/>
  <c r="A6853" i="1"/>
  <c r="B6853" i="1"/>
  <c r="A6854" i="1"/>
  <c r="B6854" i="1"/>
  <c r="A6855" i="1"/>
  <c r="B6855" i="1"/>
  <c r="A6856" i="1"/>
  <c r="A6857" i="1"/>
  <c r="B6857" i="1"/>
  <c r="A6858" i="1"/>
  <c r="B6858" i="1"/>
  <c r="A6859" i="1"/>
  <c r="B6859" i="1"/>
  <c r="A6860" i="1"/>
  <c r="B6860" i="1"/>
  <c r="A6861" i="1"/>
  <c r="B6861" i="1"/>
  <c r="A6862" i="1"/>
  <c r="B6862" i="1"/>
  <c r="A6863" i="1"/>
  <c r="B6863" i="1"/>
  <c r="A6864" i="1"/>
  <c r="B6864" i="1"/>
  <c r="A6865" i="1"/>
  <c r="A6866" i="1"/>
  <c r="B6866" i="1"/>
  <c r="A6867" i="1"/>
  <c r="B6867" i="1"/>
  <c r="A6868" i="1"/>
  <c r="B6868" i="1"/>
  <c r="A6869" i="1"/>
  <c r="B6869" i="1"/>
  <c r="A6870" i="1"/>
  <c r="A6871" i="1"/>
  <c r="A6872" i="1"/>
  <c r="A6873" i="1"/>
  <c r="B6873" i="1"/>
  <c r="A6874" i="1"/>
  <c r="A6875" i="1"/>
  <c r="B6875" i="1"/>
  <c r="A6876" i="1"/>
  <c r="B6876" i="1"/>
  <c r="A6877" i="1"/>
  <c r="B6877" i="1"/>
  <c r="A6878" i="1"/>
  <c r="B6878" i="1"/>
  <c r="A6879" i="1"/>
  <c r="B6879" i="1"/>
  <c r="A6880" i="1"/>
  <c r="B6880" i="1"/>
  <c r="A6881" i="1"/>
  <c r="A6882" i="1"/>
  <c r="B6882" i="1"/>
  <c r="A6883" i="1"/>
  <c r="B6883" i="1"/>
  <c r="A6884" i="1"/>
  <c r="B6884" i="1"/>
  <c r="A6885" i="1"/>
  <c r="B6885" i="1"/>
  <c r="A6886" i="1"/>
  <c r="B6886" i="1"/>
  <c r="A6887" i="1"/>
  <c r="B6887" i="1"/>
  <c r="A6888" i="1"/>
  <c r="A6889" i="1"/>
  <c r="B6889" i="1"/>
  <c r="A6890" i="1"/>
  <c r="B6890" i="1"/>
  <c r="A6891" i="1"/>
  <c r="B6891" i="1"/>
  <c r="A6892" i="1"/>
  <c r="B6892" i="1"/>
  <c r="A6893" i="1"/>
  <c r="A6894" i="1"/>
  <c r="A6895" i="1"/>
  <c r="B6895" i="1"/>
  <c r="A6896" i="1"/>
  <c r="A6897" i="1"/>
  <c r="B6897" i="1"/>
  <c r="A6898" i="1"/>
  <c r="B6898" i="1"/>
  <c r="A6899" i="1"/>
  <c r="B6899" i="1"/>
  <c r="A6900" i="1"/>
  <c r="B6900" i="1"/>
  <c r="A6901" i="1"/>
  <c r="A6902" i="1"/>
  <c r="A6903" i="1"/>
  <c r="B6903" i="1"/>
  <c r="A6904" i="1"/>
  <c r="B6904" i="1"/>
  <c r="A6905" i="1"/>
  <c r="B6905" i="1"/>
  <c r="A6906" i="1"/>
  <c r="B6906" i="1"/>
  <c r="A6907" i="1"/>
  <c r="B6907" i="1"/>
  <c r="A6908" i="1"/>
  <c r="A6909" i="1"/>
  <c r="A6910" i="1"/>
  <c r="B6910" i="1"/>
  <c r="A6911" i="1"/>
  <c r="A6912" i="1"/>
  <c r="B6912" i="1"/>
  <c r="A6913" i="1"/>
  <c r="B6913" i="1"/>
  <c r="A6914" i="1"/>
  <c r="B6914" i="1"/>
  <c r="A6915" i="1"/>
  <c r="B6915" i="1"/>
  <c r="A6916" i="1"/>
  <c r="B6916" i="1"/>
  <c r="A6917" i="1"/>
  <c r="B6917" i="1"/>
  <c r="A6918" i="1"/>
  <c r="B6918" i="1"/>
  <c r="A6919" i="1"/>
  <c r="A6920" i="1"/>
  <c r="B6920" i="1"/>
  <c r="A6921" i="1"/>
  <c r="B6921" i="1"/>
  <c r="A6922" i="1"/>
  <c r="B6922" i="1"/>
  <c r="A6923" i="1"/>
  <c r="A6924" i="1"/>
  <c r="B6924" i="1"/>
  <c r="A6925" i="1"/>
  <c r="B6925" i="1"/>
  <c r="A6926" i="1"/>
  <c r="B6926" i="1"/>
  <c r="A6927" i="1"/>
  <c r="B6927" i="1"/>
  <c r="A6928" i="1"/>
  <c r="B6928" i="1"/>
  <c r="A6929" i="1"/>
  <c r="B6929" i="1"/>
  <c r="A6930" i="1"/>
  <c r="B6930" i="1"/>
  <c r="A6931" i="1"/>
  <c r="B6931" i="1"/>
  <c r="A6932" i="1"/>
  <c r="B6932" i="1"/>
  <c r="A6933" i="1"/>
  <c r="A6934" i="1"/>
  <c r="A6935" i="1"/>
  <c r="B6935" i="1"/>
  <c r="A6936" i="1"/>
  <c r="B6936" i="1"/>
  <c r="A6937" i="1"/>
  <c r="A6938" i="1"/>
  <c r="B6938" i="1"/>
  <c r="A6939" i="1"/>
  <c r="B6939" i="1"/>
  <c r="A6940" i="1"/>
  <c r="A6941" i="1"/>
  <c r="B6941" i="1"/>
  <c r="A6942" i="1"/>
  <c r="B6942" i="1"/>
  <c r="A6943" i="1"/>
  <c r="B6943" i="1"/>
  <c r="A6944" i="1"/>
  <c r="A6945" i="1"/>
  <c r="A6946" i="1"/>
  <c r="B6946" i="1"/>
  <c r="A6947" i="1"/>
  <c r="B6947" i="1"/>
  <c r="A6948" i="1"/>
  <c r="B6948" i="1"/>
  <c r="A6949" i="1"/>
  <c r="B6949" i="1"/>
  <c r="A6950" i="1"/>
  <c r="B6950" i="1"/>
  <c r="A6951" i="1"/>
  <c r="B6951" i="1"/>
  <c r="A6952" i="1"/>
  <c r="B6952" i="1"/>
  <c r="A6953" i="1"/>
  <c r="A6954" i="1"/>
  <c r="B6954" i="1"/>
  <c r="A6955" i="1"/>
  <c r="A6956" i="1"/>
  <c r="B6956" i="1"/>
  <c r="A6957" i="1"/>
  <c r="B6957" i="1"/>
  <c r="A6958" i="1"/>
  <c r="B6958" i="1"/>
  <c r="A6959" i="1"/>
  <c r="B6959" i="1"/>
  <c r="A6960" i="1"/>
  <c r="B6960" i="1"/>
  <c r="A6961" i="1"/>
  <c r="B6961" i="1"/>
  <c r="A6962" i="1"/>
  <c r="B6962" i="1"/>
  <c r="A6963" i="1"/>
  <c r="A6964" i="1"/>
  <c r="A6965" i="1"/>
  <c r="A6966" i="1"/>
  <c r="A6967" i="1"/>
  <c r="A6968" i="1"/>
  <c r="B6968" i="1"/>
  <c r="A6969" i="1"/>
  <c r="A6970" i="1"/>
  <c r="B6970" i="1"/>
  <c r="A6971" i="1"/>
  <c r="B6971" i="1"/>
  <c r="A6972" i="1"/>
  <c r="B6972" i="1"/>
  <c r="A6973" i="1"/>
  <c r="B6973" i="1"/>
  <c r="A6974" i="1"/>
  <c r="B6974" i="1"/>
  <c r="A6975" i="1"/>
  <c r="B6975" i="1"/>
  <c r="A6976" i="1"/>
  <c r="B6976" i="1"/>
  <c r="A6977" i="1"/>
  <c r="B6977" i="1"/>
  <c r="A6978" i="1"/>
  <c r="B6978" i="1"/>
  <c r="A6979" i="1"/>
  <c r="B6979" i="1"/>
  <c r="A6980" i="1"/>
  <c r="B6980" i="1"/>
  <c r="A6981" i="1"/>
  <c r="B6981" i="1"/>
  <c r="A6982" i="1"/>
  <c r="B6982" i="1"/>
  <c r="A6983" i="1"/>
  <c r="B6983" i="1"/>
  <c r="A6984" i="1"/>
  <c r="B6984" i="1"/>
  <c r="A6985" i="1"/>
  <c r="B6985" i="1"/>
  <c r="A6986" i="1"/>
  <c r="B6986" i="1"/>
  <c r="A6987" i="1"/>
  <c r="A6988" i="1"/>
  <c r="B6988" i="1"/>
  <c r="A6989" i="1"/>
  <c r="B6989" i="1"/>
  <c r="A6990" i="1"/>
  <c r="B6990" i="1"/>
  <c r="A6991" i="1"/>
  <c r="B6991" i="1"/>
  <c r="A6992" i="1"/>
  <c r="B6992" i="1"/>
  <c r="A6993" i="1"/>
  <c r="A6994" i="1"/>
  <c r="B6994" i="1"/>
  <c r="A6995" i="1"/>
  <c r="B6995" i="1"/>
  <c r="A6996" i="1"/>
  <c r="B6996" i="1"/>
  <c r="A6997" i="1"/>
  <c r="B6997" i="1"/>
  <c r="A6998" i="1"/>
  <c r="B6998" i="1"/>
  <c r="A6999" i="1"/>
  <c r="B6999" i="1"/>
  <c r="A7000" i="1"/>
  <c r="A7001" i="1"/>
  <c r="B7001" i="1"/>
  <c r="A7002" i="1"/>
  <c r="B7002" i="1"/>
  <c r="A7003" i="1"/>
  <c r="B7003" i="1"/>
  <c r="A7004" i="1"/>
  <c r="B7004" i="1"/>
  <c r="A7005" i="1"/>
  <c r="B7005" i="1"/>
  <c r="A7006" i="1"/>
  <c r="B7006" i="1"/>
  <c r="A7007" i="1"/>
  <c r="A7008" i="1"/>
  <c r="B7008" i="1"/>
  <c r="A7009" i="1"/>
  <c r="A7010" i="1"/>
  <c r="B7010" i="1"/>
  <c r="A7011" i="1"/>
  <c r="B7011" i="1"/>
  <c r="A7012" i="1"/>
  <c r="B7012" i="1"/>
  <c r="A7013" i="1"/>
  <c r="B7013" i="1"/>
  <c r="A7014" i="1"/>
  <c r="B7014" i="1"/>
  <c r="A7015" i="1"/>
  <c r="B7015" i="1"/>
  <c r="A7016" i="1"/>
  <c r="B7016" i="1"/>
  <c r="A7017" i="1"/>
  <c r="B7017" i="1"/>
  <c r="A7018" i="1"/>
  <c r="B7018" i="1"/>
  <c r="A7019" i="1"/>
  <c r="B7019" i="1"/>
  <c r="A7020" i="1"/>
  <c r="B7020" i="1"/>
  <c r="A7021" i="1"/>
  <c r="B7021" i="1"/>
  <c r="A7022" i="1"/>
  <c r="B7022" i="1"/>
  <c r="A7023" i="1"/>
  <c r="B7023" i="1"/>
  <c r="A7024" i="1"/>
  <c r="B7024" i="1"/>
  <c r="A7025" i="1"/>
  <c r="B7025" i="1"/>
  <c r="A7026" i="1"/>
  <c r="B7026" i="1"/>
  <c r="A7027" i="1"/>
  <c r="B7027" i="1"/>
  <c r="A7028" i="1"/>
  <c r="B7028" i="1"/>
  <c r="A7029" i="1"/>
  <c r="B7029" i="1"/>
  <c r="A7030" i="1"/>
  <c r="B7030" i="1"/>
  <c r="A7031" i="1"/>
  <c r="B7031" i="1"/>
  <c r="A7032" i="1"/>
  <c r="B7032" i="1"/>
  <c r="A7033" i="1"/>
  <c r="B7033" i="1"/>
  <c r="A7034" i="1"/>
  <c r="A7035" i="1"/>
  <c r="B7035" i="1"/>
  <c r="A7036" i="1"/>
  <c r="A7037" i="1"/>
  <c r="A7038" i="1"/>
  <c r="A7039" i="1"/>
  <c r="B7039" i="1"/>
  <c r="A7040" i="1"/>
  <c r="B7040" i="1"/>
  <c r="A7041" i="1"/>
  <c r="B7041" i="1"/>
  <c r="A7042" i="1"/>
  <c r="A7043" i="1"/>
  <c r="B7043" i="1"/>
  <c r="A7044" i="1"/>
  <c r="B7044" i="1"/>
  <c r="A7045" i="1"/>
  <c r="A7046" i="1"/>
  <c r="B7046" i="1"/>
  <c r="A7047" i="1"/>
  <c r="A7048" i="1"/>
  <c r="A7049" i="1"/>
  <c r="A7050" i="1"/>
  <c r="B7050" i="1"/>
  <c r="A7051" i="1"/>
  <c r="B7051" i="1"/>
  <c r="A7052" i="1"/>
  <c r="B7052" i="1"/>
  <c r="A7053" i="1"/>
  <c r="B7053" i="1"/>
  <c r="A7054" i="1"/>
  <c r="B7054" i="1"/>
  <c r="A7055" i="1"/>
  <c r="B7055" i="1"/>
  <c r="A7056" i="1"/>
  <c r="B7056" i="1"/>
  <c r="A7057" i="1"/>
  <c r="A7058" i="1"/>
  <c r="B7058" i="1"/>
  <c r="A7059" i="1"/>
  <c r="B7059" i="1"/>
  <c r="A7060" i="1"/>
  <c r="B7060" i="1"/>
  <c r="A7061" i="1"/>
  <c r="A7062" i="1"/>
  <c r="B7062" i="1"/>
  <c r="A7063" i="1"/>
  <c r="B7063" i="1"/>
  <c r="A7064" i="1"/>
  <c r="B7064" i="1"/>
  <c r="A7065" i="1"/>
  <c r="B7065" i="1"/>
  <c r="A7066" i="1"/>
  <c r="B7066" i="1"/>
  <c r="A7067" i="1"/>
  <c r="B7067" i="1"/>
  <c r="A7068" i="1"/>
  <c r="B7068" i="1"/>
  <c r="A7069" i="1"/>
  <c r="B7069" i="1"/>
  <c r="A7070" i="1"/>
  <c r="B7070" i="1"/>
  <c r="A7071" i="1"/>
  <c r="B7071" i="1"/>
  <c r="A7072" i="1"/>
  <c r="B7072" i="1"/>
  <c r="A7073" i="1"/>
  <c r="B7073" i="1"/>
  <c r="A7074" i="1"/>
  <c r="B7074" i="1"/>
  <c r="A7075" i="1"/>
  <c r="A7076" i="1"/>
  <c r="A7077" i="1"/>
  <c r="B7077" i="1"/>
  <c r="A7078" i="1"/>
  <c r="B7078" i="1"/>
  <c r="A7079" i="1"/>
  <c r="B7079" i="1"/>
  <c r="A7080" i="1"/>
  <c r="B7080" i="1"/>
  <c r="A7081" i="1"/>
  <c r="A7082" i="1"/>
  <c r="B7082" i="1"/>
  <c r="A7083" i="1"/>
  <c r="A7084" i="1"/>
  <c r="A7085" i="1"/>
  <c r="B7085" i="1"/>
  <c r="A7086" i="1"/>
  <c r="B7086" i="1"/>
  <c r="A7087" i="1"/>
  <c r="B7087" i="1"/>
  <c r="A7088" i="1"/>
  <c r="B7088" i="1"/>
  <c r="A7089" i="1"/>
  <c r="A7090" i="1"/>
  <c r="A7091" i="1"/>
  <c r="B7091" i="1"/>
  <c r="A7092" i="1"/>
  <c r="B7092" i="1"/>
  <c r="A7093" i="1"/>
  <c r="B7093" i="1"/>
  <c r="A7094" i="1"/>
  <c r="B7094" i="1"/>
  <c r="A7095" i="1"/>
  <c r="B7095" i="1"/>
  <c r="A7096" i="1"/>
  <c r="B7096" i="1"/>
  <c r="A7097" i="1"/>
  <c r="B7097" i="1"/>
  <c r="A7098" i="1"/>
  <c r="B7098" i="1"/>
  <c r="A7099" i="1"/>
  <c r="B7099" i="1"/>
  <c r="A7100" i="1"/>
  <c r="B7100" i="1"/>
  <c r="A7101" i="1"/>
  <c r="A7102" i="1"/>
  <c r="A7103" i="1"/>
  <c r="B7103" i="1"/>
  <c r="A7104" i="1"/>
  <c r="A7105" i="1"/>
  <c r="B7105" i="1"/>
  <c r="A7106" i="1"/>
  <c r="B7106" i="1"/>
  <c r="A7107" i="1"/>
  <c r="A7108" i="1"/>
  <c r="A7109" i="1"/>
  <c r="B7109" i="1"/>
  <c r="A7110" i="1"/>
  <c r="B7110" i="1"/>
  <c r="A7111" i="1"/>
  <c r="B7111" i="1"/>
  <c r="A7112" i="1"/>
  <c r="A7113" i="1"/>
  <c r="A7114" i="1"/>
  <c r="B7114" i="1"/>
  <c r="A7115" i="1"/>
  <c r="A7116" i="1"/>
  <c r="B7116" i="1"/>
  <c r="A7117" i="1"/>
  <c r="B7117" i="1"/>
  <c r="A7118" i="1"/>
  <c r="B7118" i="1"/>
  <c r="A7119" i="1"/>
  <c r="A7120" i="1"/>
  <c r="B7120" i="1"/>
  <c r="A7121" i="1"/>
  <c r="B7121" i="1"/>
  <c r="A7122" i="1"/>
  <c r="B7122" i="1"/>
  <c r="A7123" i="1"/>
  <c r="A7124" i="1"/>
  <c r="B7124" i="1"/>
  <c r="A7125" i="1"/>
  <c r="A7126" i="1"/>
  <c r="B7126" i="1"/>
  <c r="A7127" i="1"/>
  <c r="B7127" i="1"/>
  <c r="A7128" i="1"/>
  <c r="A7129" i="1"/>
  <c r="A7130" i="1"/>
  <c r="B7130" i="1"/>
  <c r="A7131" i="1"/>
  <c r="B7131" i="1"/>
  <c r="A7132" i="1"/>
  <c r="B7132" i="1"/>
  <c r="A7133" i="1"/>
  <c r="B7133" i="1"/>
  <c r="A7134" i="1"/>
  <c r="B7134" i="1"/>
  <c r="A7135" i="1"/>
  <c r="B7135" i="1"/>
  <c r="A7136" i="1"/>
  <c r="B7136" i="1"/>
  <c r="A7137" i="1"/>
  <c r="B7137" i="1"/>
  <c r="A7138" i="1"/>
  <c r="A7139" i="1"/>
  <c r="A7140" i="1"/>
  <c r="B7140" i="1"/>
  <c r="A7141" i="1"/>
  <c r="B7141" i="1"/>
  <c r="A7142" i="1"/>
  <c r="B7142" i="1"/>
  <c r="A7143" i="1"/>
  <c r="A7144" i="1"/>
  <c r="B7144" i="1"/>
  <c r="A7145" i="1"/>
  <c r="A7146" i="1"/>
  <c r="B7146" i="1"/>
  <c r="A7147" i="1"/>
  <c r="B7147" i="1"/>
  <c r="A7148" i="1"/>
  <c r="B7148" i="1"/>
  <c r="A7149" i="1"/>
  <c r="B7149" i="1"/>
  <c r="A7150" i="1"/>
  <c r="B7150" i="1"/>
  <c r="A7151" i="1"/>
  <c r="B7151" i="1"/>
  <c r="A7152" i="1"/>
  <c r="B7152" i="1"/>
  <c r="A7153" i="1"/>
  <c r="B7153" i="1"/>
  <c r="A7154" i="1"/>
  <c r="A7155" i="1"/>
  <c r="B7155" i="1"/>
  <c r="A7156" i="1"/>
  <c r="B7156" i="1"/>
  <c r="A7157" i="1"/>
  <c r="A7158" i="1"/>
  <c r="A7159" i="1"/>
  <c r="A7160" i="1"/>
  <c r="B7160" i="1"/>
  <c r="A7161" i="1"/>
  <c r="B7161" i="1"/>
  <c r="A7162" i="1"/>
  <c r="B7162" i="1"/>
  <c r="A7163" i="1"/>
  <c r="B7163" i="1"/>
  <c r="A7164" i="1"/>
  <c r="A7165" i="1"/>
  <c r="A7166" i="1"/>
  <c r="B7166" i="1"/>
  <c r="A7167" i="1"/>
  <c r="A7168" i="1"/>
  <c r="B7168" i="1"/>
  <c r="A7169" i="1"/>
  <c r="B7169" i="1"/>
  <c r="A7170" i="1"/>
  <c r="B7170" i="1"/>
  <c r="A7171" i="1"/>
  <c r="A7172" i="1"/>
  <c r="A7173" i="1"/>
  <c r="A7174" i="1"/>
  <c r="A7175" i="1"/>
  <c r="A7176" i="1"/>
  <c r="A7177" i="1"/>
  <c r="A7178" i="1"/>
  <c r="B7178" i="1"/>
  <c r="A7179" i="1"/>
  <c r="A7180" i="1"/>
  <c r="B7180" i="1"/>
  <c r="A7181" i="1"/>
  <c r="B7181" i="1"/>
  <c r="A7182" i="1"/>
  <c r="A7183" i="1"/>
  <c r="A7184" i="1"/>
  <c r="B7184" i="1"/>
  <c r="A7185" i="1"/>
  <c r="A7186" i="1"/>
  <c r="A7187" i="1"/>
  <c r="B7187" i="1"/>
  <c r="A7188" i="1"/>
  <c r="A7189" i="1"/>
  <c r="B7189" i="1"/>
  <c r="A7190" i="1"/>
  <c r="B7190" i="1"/>
  <c r="A7191" i="1"/>
  <c r="A7192" i="1"/>
  <c r="B7192" i="1"/>
  <c r="A7193" i="1"/>
  <c r="B7193" i="1"/>
  <c r="A7194" i="1"/>
  <c r="B7194" i="1"/>
  <c r="A7195" i="1"/>
  <c r="B7195" i="1"/>
  <c r="A7196" i="1"/>
  <c r="B7196" i="1"/>
  <c r="A7197" i="1"/>
  <c r="B7197" i="1"/>
  <c r="A7198" i="1"/>
  <c r="B7198" i="1"/>
  <c r="A7199" i="1"/>
  <c r="A7200" i="1"/>
  <c r="B7200" i="1"/>
  <c r="A7201" i="1"/>
  <c r="B7201" i="1"/>
  <c r="A7202" i="1"/>
  <c r="A7203" i="1"/>
  <c r="B7203" i="1"/>
  <c r="A7204" i="1"/>
  <c r="B7204" i="1"/>
  <c r="A7205" i="1"/>
  <c r="B7205" i="1"/>
  <c r="A7206" i="1"/>
  <c r="A7207" i="1"/>
  <c r="A7208" i="1"/>
  <c r="A7209" i="1"/>
  <c r="A7210" i="1"/>
  <c r="B7210" i="1"/>
  <c r="A7211" i="1"/>
  <c r="A7212" i="1"/>
  <c r="A7213" i="1"/>
  <c r="A7214" i="1"/>
  <c r="B7214" i="1"/>
  <c r="A7215" i="1"/>
  <c r="B7215" i="1"/>
  <c r="A7216" i="1"/>
  <c r="B7216" i="1"/>
  <c r="A7217" i="1"/>
  <c r="B7217" i="1"/>
  <c r="A7218" i="1"/>
  <c r="B7218" i="1"/>
  <c r="A7219" i="1"/>
  <c r="B7219" i="1"/>
  <c r="A7220" i="1"/>
  <c r="B7220" i="1"/>
  <c r="A7221" i="1"/>
  <c r="B7221" i="1"/>
  <c r="A7222" i="1"/>
  <c r="B7222" i="1"/>
  <c r="A7223" i="1"/>
  <c r="A7224" i="1"/>
  <c r="B7224" i="1"/>
  <c r="A7225" i="1"/>
  <c r="A7226" i="1"/>
  <c r="B7226" i="1"/>
  <c r="A7227" i="1"/>
  <c r="B7227" i="1"/>
  <c r="A7228" i="1"/>
  <c r="B7228" i="1"/>
  <c r="A7229" i="1"/>
  <c r="B7229" i="1"/>
  <c r="A7230" i="1"/>
  <c r="B7230" i="1"/>
  <c r="A7231" i="1"/>
  <c r="B7231" i="1"/>
  <c r="A7232" i="1"/>
  <c r="B7232" i="1"/>
  <c r="A7233" i="1"/>
  <c r="A7234" i="1"/>
  <c r="B7234" i="1"/>
  <c r="A7235" i="1"/>
  <c r="B7235" i="1"/>
  <c r="A7236" i="1"/>
  <c r="B7236" i="1"/>
  <c r="A7237" i="1"/>
  <c r="A7238" i="1"/>
  <c r="B7238" i="1"/>
  <c r="A7239" i="1"/>
  <c r="B7239" i="1"/>
  <c r="A7240" i="1"/>
  <c r="B7240" i="1"/>
  <c r="A7241" i="1"/>
  <c r="A7242" i="1"/>
  <c r="B7242" i="1"/>
  <c r="A7243" i="1"/>
  <c r="B7243" i="1"/>
  <c r="A7244" i="1"/>
  <c r="B7244" i="1"/>
  <c r="A7245" i="1"/>
  <c r="A7246" i="1"/>
  <c r="A7247" i="1"/>
  <c r="B7247" i="1"/>
  <c r="A7248" i="1"/>
  <c r="B7248" i="1"/>
  <c r="A7249" i="1"/>
  <c r="B7249" i="1"/>
  <c r="A7250" i="1"/>
  <c r="A7251" i="1"/>
  <c r="A7252" i="1"/>
  <c r="B7252" i="1"/>
  <c r="A7253" i="1"/>
  <c r="B7253" i="1"/>
  <c r="A7254" i="1"/>
  <c r="B7254" i="1"/>
  <c r="A7255" i="1"/>
  <c r="B7255" i="1"/>
  <c r="A7256" i="1"/>
  <c r="A7257" i="1"/>
  <c r="B7257" i="1"/>
  <c r="A7258" i="1"/>
  <c r="A7259" i="1"/>
  <c r="A7260" i="1"/>
  <c r="A7261" i="1"/>
  <c r="B7261" i="1"/>
  <c r="A7262" i="1"/>
  <c r="B7262" i="1"/>
  <c r="A7263" i="1"/>
  <c r="A7264" i="1"/>
  <c r="B7264" i="1"/>
  <c r="A7265" i="1"/>
  <c r="B7265" i="1"/>
  <c r="A7266" i="1"/>
  <c r="B7266" i="1"/>
  <c r="A7267" i="1"/>
  <c r="B7267" i="1"/>
  <c r="A7268" i="1"/>
  <c r="B7268" i="1"/>
  <c r="A7269" i="1"/>
  <c r="B7269" i="1"/>
  <c r="A7270" i="1"/>
  <c r="A7271" i="1"/>
  <c r="B7271" i="1"/>
  <c r="A7272" i="1"/>
  <c r="B7272" i="1"/>
  <c r="A7273" i="1"/>
  <c r="B7273" i="1"/>
  <c r="A7274" i="1"/>
  <c r="B7274" i="1"/>
  <c r="A7275" i="1"/>
  <c r="B7275" i="1"/>
  <c r="A7276" i="1"/>
  <c r="B7276" i="1"/>
  <c r="A7277" i="1"/>
  <c r="B7277" i="1"/>
  <c r="A7278" i="1"/>
  <c r="B7278" i="1"/>
  <c r="A7279" i="1"/>
  <c r="B7279" i="1"/>
  <c r="A7280" i="1"/>
  <c r="A7281" i="1"/>
  <c r="B7281" i="1"/>
  <c r="A7282" i="1"/>
  <c r="B7282" i="1"/>
  <c r="A7283" i="1"/>
  <c r="B7283" i="1"/>
  <c r="A7284" i="1"/>
  <c r="A7285" i="1"/>
  <c r="B7285" i="1"/>
  <c r="A7286" i="1"/>
  <c r="A7287" i="1"/>
  <c r="B7287" i="1"/>
  <c r="A7288" i="1"/>
  <c r="B7288" i="1"/>
  <c r="A7289" i="1"/>
  <c r="B7289" i="1"/>
  <c r="A7290" i="1"/>
  <c r="B7290" i="1"/>
  <c r="A7291" i="1"/>
  <c r="B7291" i="1"/>
  <c r="A7292" i="1"/>
  <c r="B7292" i="1"/>
  <c r="A7293" i="1"/>
  <c r="B7293" i="1"/>
  <c r="A7294" i="1"/>
  <c r="B7294" i="1"/>
  <c r="A7295" i="1"/>
  <c r="B7295" i="1"/>
  <c r="A7296" i="1"/>
  <c r="B7296" i="1"/>
  <c r="A7297" i="1"/>
  <c r="B7297" i="1"/>
  <c r="A7298" i="1"/>
  <c r="B7298" i="1"/>
  <c r="A7299" i="1"/>
  <c r="B7299" i="1"/>
  <c r="A7300" i="1"/>
  <c r="A7301" i="1"/>
  <c r="B7301" i="1"/>
  <c r="A7302" i="1"/>
  <c r="A7303" i="1"/>
  <c r="A7304" i="1"/>
  <c r="B7304" i="1"/>
  <c r="A7305" i="1"/>
  <c r="B7305" i="1"/>
  <c r="A7306" i="1"/>
  <c r="B7306" i="1"/>
  <c r="A7307" i="1"/>
  <c r="B7307" i="1"/>
  <c r="A7308" i="1"/>
  <c r="A7309" i="1"/>
  <c r="B7309" i="1"/>
  <c r="A7310" i="1"/>
  <c r="B7310" i="1"/>
  <c r="A7311" i="1"/>
  <c r="B7311" i="1"/>
  <c r="A7312" i="1"/>
  <c r="B7312" i="1"/>
  <c r="A7313" i="1"/>
  <c r="B7313" i="1"/>
  <c r="A7314" i="1"/>
  <c r="B7314" i="1"/>
  <c r="A7315" i="1"/>
  <c r="B7315" i="1"/>
  <c r="A7316" i="1"/>
  <c r="A7317" i="1"/>
  <c r="A7318" i="1"/>
  <c r="B7318" i="1"/>
  <c r="A7319" i="1"/>
  <c r="B7319" i="1"/>
  <c r="A7320" i="1"/>
  <c r="B7320" i="1"/>
  <c r="A7321" i="1"/>
  <c r="B7321" i="1"/>
  <c r="A7322" i="1"/>
  <c r="B7322" i="1"/>
  <c r="A7323" i="1"/>
  <c r="A7324" i="1"/>
  <c r="A7325" i="1"/>
  <c r="B7325" i="1"/>
  <c r="A7326" i="1"/>
  <c r="B7326" i="1"/>
  <c r="A7327" i="1"/>
  <c r="B7327" i="1"/>
  <c r="A7328" i="1"/>
  <c r="B7328" i="1"/>
  <c r="A7329" i="1"/>
  <c r="B7329" i="1"/>
  <c r="A7330" i="1"/>
  <c r="B7330" i="1"/>
  <c r="A7331" i="1"/>
  <c r="B7331" i="1"/>
  <c r="A7332" i="1"/>
  <c r="B7332" i="1"/>
  <c r="A7333" i="1"/>
  <c r="B7333" i="1"/>
  <c r="A7334" i="1"/>
  <c r="B7334" i="1"/>
  <c r="A7335" i="1"/>
  <c r="B7335" i="1"/>
  <c r="A7336" i="1"/>
  <c r="B7336" i="1"/>
  <c r="A7337" i="1"/>
  <c r="B7337" i="1"/>
  <c r="A7338" i="1"/>
  <c r="B7338" i="1"/>
  <c r="A7339" i="1"/>
  <c r="B7339" i="1"/>
  <c r="A7340" i="1"/>
  <c r="A7341" i="1"/>
  <c r="A7342" i="1"/>
  <c r="A7343" i="1"/>
  <c r="B7343" i="1"/>
  <c r="A7344" i="1"/>
  <c r="B7344" i="1"/>
  <c r="A7345" i="1"/>
  <c r="B7345" i="1"/>
  <c r="A7346" i="1"/>
  <c r="B7346" i="1"/>
  <c r="A7347" i="1"/>
  <c r="B7347" i="1"/>
  <c r="A7348" i="1"/>
  <c r="B7348" i="1"/>
  <c r="A7349" i="1"/>
  <c r="B7349" i="1"/>
  <c r="A7350" i="1"/>
  <c r="B7350" i="1"/>
  <c r="A7351" i="1"/>
  <c r="B7351" i="1"/>
  <c r="A7352" i="1"/>
  <c r="B7352" i="1"/>
  <c r="A7353" i="1"/>
  <c r="B7353" i="1"/>
  <c r="A7354" i="1"/>
  <c r="A7355" i="1"/>
  <c r="B7355" i="1"/>
  <c r="A7356" i="1"/>
  <c r="B7356" i="1"/>
  <c r="A7357" i="1"/>
  <c r="B7357" i="1"/>
  <c r="A7358" i="1"/>
  <c r="A7359" i="1"/>
  <c r="B7359" i="1"/>
  <c r="A7360" i="1"/>
  <c r="B7360" i="1"/>
  <c r="A7361" i="1"/>
  <c r="B7361" i="1"/>
  <c r="A7362" i="1"/>
  <c r="B7362" i="1"/>
  <c r="A7363" i="1"/>
  <c r="B7363" i="1"/>
  <c r="A7364" i="1"/>
  <c r="B7364" i="1"/>
  <c r="A7365" i="1"/>
  <c r="B7365" i="1"/>
  <c r="A7366" i="1"/>
  <c r="A7367" i="1"/>
  <c r="B7367" i="1"/>
  <c r="A7368" i="1"/>
  <c r="A7369" i="1"/>
  <c r="B7369" i="1"/>
  <c r="A7370" i="1"/>
  <c r="A7371" i="1"/>
  <c r="B7371" i="1"/>
  <c r="A7372" i="1"/>
  <c r="B7372" i="1"/>
  <c r="A7373" i="1"/>
  <c r="B7373" i="1"/>
  <c r="A7374" i="1"/>
  <c r="B7374" i="1"/>
  <c r="A7375" i="1"/>
  <c r="B7375" i="1"/>
  <c r="A7376" i="1"/>
  <c r="B7376" i="1"/>
  <c r="A7377" i="1"/>
  <c r="A7378" i="1"/>
  <c r="B7378" i="1"/>
  <c r="A7379" i="1"/>
  <c r="B7379" i="1"/>
  <c r="A7380" i="1"/>
  <c r="B7380" i="1"/>
  <c r="A7381" i="1"/>
  <c r="A7382" i="1"/>
  <c r="B7382" i="1"/>
  <c r="A7383" i="1"/>
  <c r="B7383" i="1"/>
  <c r="A7384" i="1"/>
  <c r="B7384" i="1"/>
  <c r="A7385" i="1"/>
  <c r="A7386" i="1"/>
  <c r="B7386" i="1"/>
  <c r="A7387" i="1"/>
  <c r="A7388" i="1"/>
  <c r="B7388" i="1"/>
  <c r="A7389" i="1"/>
  <c r="B7389" i="1"/>
  <c r="A7390" i="1"/>
  <c r="B7390" i="1"/>
  <c r="A7391" i="1"/>
  <c r="B7391" i="1"/>
  <c r="A7392" i="1"/>
  <c r="B7392" i="1"/>
  <c r="A7393" i="1"/>
  <c r="B7393" i="1"/>
  <c r="A7394" i="1"/>
  <c r="B7394" i="1"/>
  <c r="A7395" i="1"/>
  <c r="B7395" i="1"/>
  <c r="A7396" i="1"/>
  <c r="B7396" i="1"/>
  <c r="A7397" i="1"/>
  <c r="A7398" i="1"/>
  <c r="A7399" i="1"/>
  <c r="A7400" i="1"/>
  <c r="A7401" i="1"/>
  <c r="A7402" i="1"/>
  <c r="A7403" i="1"/>
  <c r="A7404" i="1"/>
  <c r="A7405" i="1"/>
  <c r="A7406" i="1"/>
  <c r="B7406" i="1"/>
  <c r="A7407" i="1"/>
  <c r="B7407" i="1"/>
  <c r="A7408" i="1"/>
  <c r="B7408" i="1"/>
  <c r="A7409" i="1"/>
  <c r="B7409" i="1"/>
  <c r="A7410" i="1"/>
  <c r="B7410" i="1"/>
  <c r="A7411" i="1"/>
  <c r="B7411" i="1"/>
  <c r="A7412" i="1"/>
  <c r="B7412" i="1"/>
  <c r="A7413" i="1"/>
  <c r="B7413" i="1"/>
  <c r="A7414" i="1"/>
  <c r="B7414" i="1"/>
  <c r="A7415" i="1"/>
  <c r="B7415" i="1"/>
  <c r="A7416" i="1"/>
  <c r="B7416" i="1"/>
  <c r="A7417" i="1"/>
  <c r="B7417" i="1"/>
  <c r="A7418" i="1"/>
  <c r="B7418" i="1"/>
  <c r="A7419" i="1"/>
  <c r="B7419" i="1"/>
  <c r="A7420" i="1"/>
  <c r="B7420" i="1"/>
  <c r="A7421" i="1"/>
  <c r="B7421" i="1"/>
  <c r="A7422" i="1"/>
  <c r="B7422" i="1"/>
  <c r="A7423" i="1"/>
  <c r="B7423" i="1"/>
  <c r="A7424" i="1"/>
  <c r="B7424" i="1"/>
  <c r="A7425" i="1"/>
  <c r="B7425" i="1"/>
  <c r="A7426" i="1"/>
  <c r="B7426" i="1"/>
  <c r="A7427" i="1"/>
  <c r="B7427" i="1"/>
  <c r="A7428" i="1"/>
  <c r="B7428" i="1"/>
  <c r="A7429" i="1"/>
  <c r="B7429" i="1"/>
  <c r="A7430" i="1"/>
  <c r="B7430" i="1"/>
  <c r="A7431" i="1"/>
  <c r="A7432" i="1"/>
  <c r="B7432" i="1"/>
  <c r="A7433" i="1"/>
  <c r="B7433" i="1"/>
  <c r="A7434" i="1"/>
  <c r="B7434" i="1"/>
  <c r="A7435" i="1"/>
  <c r="B7435" i="1"/>
  <c r="A7436" i="1"/>
  <c r="B7436" i="1"/>
  <c r="A7437" i="1"/>
  <c r="B7437" i="1"/>
  <c r="A7438" i="1"/>
  <c r="A7439" i="1"/>
  <c r="B7439" i="1"/>
  <c r="A7440" i="1"/>
  <c r="B7440" i="1"/>
  <c r="A7441" i="1"/>
  <c r="B7441" i="1"/>
  <c r="A7442" i="1"/>
  <c r="B7442" i="1"/>
  <c r="A7443" i="1"/>
  <c r="B7443" i="1"/>
  <c r="A7444" i="1"/>
  <c r="B7444" i="1"/>
  <c r="A7445" i="1"/>
  <c r="B7445" i="1"/>
  <c r="A7446" i="1"/>
  <c r="B7446" i="1"/>
  <c r="A7447" i="1"/>
  <c r="B7447" i="1"/>
  <c r="A7448" i="1"/>
  <c r="B7448" i="1"/>
  <c r="A7449" i="1"/>
  <c r="B7449" i="1"/>
  <c r="A7450" i="1"/>
  <c r="B7450" i="1"/>
  <c r="A7451" i="1"/>
  <c r="B7451" i="1"/>
  <c r="A7452" i="1"/>
  <c r="B7452" i="1"/>
  <c r="A7453" i="1"/>
  <c r="B7453" i="1"/>
  <c r="A7454" i="1"/>
  <c r="B7454" i="1"/>
  <c r="A7455" i="1"/>
  <c r="B7455" i="1"/>
  <c r="A7456" i="1"/>
  <c r="B7456" i="1"/>
  <c r="A7457" i="1"/>
  <c r="B7457" i="1"/>
  <c r="A7458" i="1"/>
  <c r="B7458" i="1"/>
  <c r="A7459" i="1"/>
  <c r="B7459" i="1"/>
  <c r="A7460" i="1"/>
  <c r="B7460" i="1"/>
  <c r="A7461" i="1"/>
  <c r="A7462" i="1"/>
  <c r="B7462" i="1"/>
  <c r="A7463" i="1"/>
  <c r="B7463" i="1"/>
  <c r="A7464" i="1"/>
  <c r="B7464" i="1"/>
  <c r="A7465" i="1"/>
  <c r="B7465" i="1"/>
  <c r="A7466" i="1"/>
  <c r="B7466" i="1"/>
  <c r="A7467" i="1"/>
  <c r="B7467" i="1"/>
  <c r="A7468" i="1"/>
  <c r="B7468" i="1"/>
  <c r="A7469" i="1"/>
  <c r="B7469" i="1"/>
  <c r="A7470" i="1"/>
  <c r="B7470" i="1"/>
  <c r="A7471" i="1"/>
  <c r="B7471" i="1"/>
  <c r="A7472" i="1"/>
  <c r="B7472" i="1"/>
  <c r="A7473" i="1"/>
  <c r="B7473" i="1"/>
  <c r="A7474" i="1"/>
  <c r="B7474" i="1"/>
  <c r="A7475" i="1"/>
  <c r="B7475" i="1"/>
  <c r="A7476" i="1"/>
  <c r="B7476" i="1"/>
  <c r="A7477" i="1"/>
  <c r="B7477" i="1"/>
  <c r="A7478" i="1"/>
  <c r="B7478" i="1"/>
  <c r="A7479" i="1"/>
  <c r="B7479" i="1"/>
  <c r="A7480" i="1"/>
  <c r="B7480" i="1"/>
  <c r="A7481" i="1"/>
  <c r="A7482" i="1"/>
  <c r="B7482" i="1"/>
  <c r="A7483" i="1"/>
  <c r="B7483" i="1"/>
  <c r="A7484" i="1"/>
  <c r="B7484" i="1"/>
  <c r="A7485" i="1"/>
  <c r="B7485" i="1"/>
  <c r="A7486" i="1"/>
  <c r="B7486" i="1"/>
  <c r="A7487" i="1"/>
  <c r="B7487" i="1"/>
  <c r="A7488" i="1"/>
  <c r="B7488" i="1"/>
  <c r="A7489" i="1"/>
  <c r="B7489" i="1"/>
  <c r="A7490" i="1"/>
  <c r="B7490" i="1"/>
  <c r="A7491" i="1"/>
  <c r="B7491" i="1"/>
  <c r="A7492" i="1"/>
  <c r="B7492" i="1"/>
  <c r="A7493" i="1"/>
  <c r="B7493" i="1"/>
  <c r="A7494" i="1"/>
  <c r="B7494" i="1"/>
  <c r="A7495" i="1"/>
  <c r="B7495" i="1"/>
  <c r="A7496" i="1"/>
  <c r="B7496" i="1"/>
  <c r="A7497" i="1"/>
  <c r="B7497" i="1"/>
  <c r="A7498" i="1"/>
  <c r="B7498" i="1"/>
  <c r="A7499" i="1"/>
  <c r="B7499" i="1"/>
  <c r="A7500" i="1"/>
  <c r="A7501" i="1"/>
  <c r="B7501" i="1"/>
  <c r="A7502" i="1"/>
  <c r="B7502" i="1"/>
  <c r="A7503" i="1"/>
  <c r="B7503" i="1"/>
  <c r="A7504" i="1"/>
  <c r="A7505" i="1"/>
  <c r="B7505" i="1"/>
  <c r="A7506" i="1"/>
  <c r="B7506" i="1"/>
  <c r="A7507" i="1"/>
  <c r="B7507" i="1"/>
  <c r="A7508" i="1"/>
  <c r="B7508" i="1"/>
  <c r="A7509" i="1"/>
  <c r="B7509" i="1"/>
  <c r="A7510" i="1"/>
  <c r="B7510" i="1"/>
  <c r="A7511" i="1"/>
  <c r="A7512" i="1"/>
  <c r="B7512" i="1"/>
  <c r="A7513" i="1"/>
  <c r="B7513" i="1"/>
  <c r="A7514" i="1"/>
  <c r="B7514" i="1"/>
  <c r="A7515" i="1"/>
  <c r="B7515" i="1"/>
  <c r="A7516" i="1"/>
  <c r="B7516" i="1"/>
  <c r="A7517" i="1"/>
  <c r="B7517" i="1"/>
  <c r="A7518" i="1"/>
  <c r="B7518" i="1"/>
  <c r="A7519" i="1"/>
  <c r="A7520" i="1"/>
  <c r="B7520" i="1"/>
  <c r="A7521" i="1"/>
  <c r="B7521" i="1"/>
  <c r="A7522" i="1"/>
  <c r="B7522" i="1"/>
  <c r="A7523" i="1"/>
  <c r="A7524" i="1"/>
  <c r="B7524" i="1"/>
  <c r="A7525" i="1"/>
  <c r="B7525" i="1"/>
  <c r="A7526" i="1"/>
  <c r="B7526" i="1"/>
  <c r="A7527" i="1"/>
  <c r="B7527" i="1"/>
  <c r="A7528" i="1"/>
  <c r="A7529" i="1"/>
  <c r="B7529" i="1"/>
  <c r="A7530" i="1"/>
  <c r="B7530" i="1"/>
  <c r="A7531" i="1"/>
  <c r="A7532" i="1"/>
  <c r="B7532" i="1"/>
  <c r="A7533" i="1"/>
  <c r="B7533" i="1"/>
  <c r="A7534" i="1"/>
  <c r="B7534" i="1"/>
  <c r="A7535" i="1"/>
  <c r="B7535" i="1"/>
  <c r="A7536" i="1"/>
  <c r="A7537" i="1"/>
  <c r="B7537" i="1"/>
  <c r="A7538" i="1"/>
  <c r="B7538" i="1"/>
  <c r="A7539" i="1"/>
  <c r="A7540" i="1"/>
  <c r="B7540" i="1"/>
  <c r="A7541" i="1"/>
  <c r="B7541" i="1"/>
  <c r="A7542" i="1"/>
  <c r="B7542" i="1"/>
  <c r="A7543" i="1"/>
  <c r="B7543" i="1"/>
  <c r="A7544" i="1"/>
  <c r="B7544" i="1"/>
  <c r="A7545" i="1"/>
  <c r="B7545" i="1"/>
  <c r="A7546" i="1"/>
  <c r="B7546" i="1"/>
  <c r="A7547" i="1"/>
  <c r="A7548" i="1"/>
  <c r="B7548" i="1"/>
  <c r="A7549" i="1"/>
  <c r="B7549" i="1"/>
  <c r="A7550" i="1"/>
  <c r="A7551" i="1"/>
  <c r="B7551" i="1"/>
  <c r="A7552" i="1"/>
  <c r="B7552" i="1"/>
  <c r="A7553" i="1"/>
  <c r="A7554" i="1"/>
  <c r="B7554" i="1"/>
  <c r="A7555" i="1"/>
  <c r="B7555" i="1"/>
  <c r="A7556" i="1"/>
  <c r="B7556" i="1"/>
  <c r="A7557" i="1"/>
  <c r="B7557" i="1"/>
  <c r="A7558" i="1"/>
  <c r="B7558" i="1"/>
  <c r="A7559" i="1"/>
  <c r="A7560" i="1"/>
  <c r="B7560" i="1"/>
  <c r="A7561" i="1"/>
  <c r="B7561" i="1"/>
  <c r="A7562" i="1"/>
  <c r="B7562" i="1"/>
  <c r="A7563" i="1"/>
  <c r="A7564" i="1"/>
  <c r="A7565" i="1"/>
  <c r="A7566" i="1"/>
  <c r="A7567" i="1"/>
  <c r="A7568" i="1"/>
  <c r="A7569" i="1"/>
  <c r="A7570" i="1"/>
  <c r="A7571" i="1"/>
  <c r="B7571" i="1"/>
  <c r="A7572" i="1"/>
  <c r="A7573" i="1"/>
  <c r="A7574" i="1"/>
  <c r="A7575" i="1"/>
  <c r="A7576" i="1"/>
  <c r="B7576" i="1"/>
  <c r="A7577" i="1"/>
  <c r="A7578" i="1"/>
  <c r="B7578" i="1"/>
  <c r="A7579" i="1"/>
  <c r="B7579" i="1"/>
  <c r="A7580" i="1"/>
  <c r="B7580" i="1"/>
  <c r="A7581" i="1"/>
  <c r="B7581" i="1"/>
  <c r="A7582" i="1"/>
  <c r="B7582" i="1"/>
  <c r="A7583" i="1"/>
  <c r="B7583" i="1"/>
  <c r="A7584" i="1"/>
  <c r="B7584" i="1"/>
  <c r="A7585" i="1"/>
  <c r="B7585" i="1"/>
  <c r="A7586" i="1"/>
  <c r="B7586" i="1"/>
  <c r="A7587" i="1"/>
  <c r="A7588" i="1"/>
  <c r="B7588" i="1"/>
  <c r="A7589" i="1"/>
  <c r="B7589" i="1"/>
  <c r="A7590" i="1"/>
  <c r="B7590" i="1"/>
  <c r="A7591" i="1"/>
  <c r="B7591" i="1"/>
  <c r="A7592" i="1"/>
  <c r="B7592" i="1"/>
  <c r="A7593" i="1"/>
  <c r="B7593" i="1"/>
  <c r="A7594" i="1"/>
  <c r="B7594" i="1"/>
  <c r="A7595" i="1"/>
  <c r="B7595" i="1"/>
  <c r="A7596" i="1"/>
  <c r="B7596" i="1"/>
  <c r="A7597" i="1"/>
  <c r="B7597" i="1"/>
  <c r="A7598" i="1"/>
  <c r="A7599" i="1"/>
  <c r="B7599" i="1"/>
  <c r="A7600" i="1"/>
  <c r="B7600" i="1"/>
  <c r="A7601" i="1"/>
  <c r="B7601" i="1"/>
  <c r="A7602" i="1"/>
  <c r="A7603" i="1"/>
  <c r="B7603" i="1"/>
  <c r="A7604" i="1"/>
  <c r="B7604" i="1"/>
  <c r="A7605" i="1"/>
  <c r="B7605" i="1"/>
  <c r="A7606" i="1"/>
  <c r="B7606" i="1"/>
  <c r="A7607" i="1"/>
  <c r="B7607" i="1"/>
  <c r="A7608" i="1"/>
  <c r="A7609" i="1"/>
  <c r="B7609" i="1"/>
  <c r="A7610" i="1"/>
  <c r="B7610" i="1"/>
  <c r="A7611" i="1"/>
  <c r="B7611" i="1"/>
  <c r="A7612" i="1"/>
  <c r="B7612" i="1"/>
  <c r="A7613" i="1"/>
  <c r="B7613" i="1"/>
  <c r="A7614" i="1"/>
  <c r="A7615" i="1"/>
  <c r="B7615" i="1"/>
  <c r="A7616" i="1"/>
  <c r="B7616" i="1"/>
  <c r="A7617" i="1"/>
  <c r="B7617" i="1"/>
  <c r="A7618" i="1"/>
  <c r="A7619" i="1"/>
  <c r="B7619" i="1"/>
  <c r="A7620" i="1"/>
  <c r="B7620" i="1"/>
  <c r="A7621" i="1"/>
  <c r="A7622" i="1"/>
  <c r="B7622" i="1"/>
  <c r="A7623" i="1"/>
  <c r="A7624" i="1"/>
  <c r="A7625" i="1"/>
  <c r="B7625" i="1"/>
  <c r="A7626" i="1"/>
  <c r="B7626" i="1"/>
  <c r="A7627" i="1"/>
  <c r="B7627" i="1"/>
  <c r="A7628" i="1"/>
  <c r="B7628" i="1"/>
  <c r="A7629" i="1"/>
  <c r="B7629" i="1"/>
  <c r="A7630" i="1"/>
  <c r="B7630" i="1"/>
  <c r="A7631" i="1"/>
  <c r="B7631" i="1"/>
  <c r="A7632" i="1"/>
  <c r="B7632" i="1"/>
  <c r="A7633" i="1"/>
  <c r="B7633" i="1"/>
  <c r="A7634" i="1"/>
  <c r="A7635" i="1"/>
  <c r="B7635" i="1"/>
  <c r="A7636" i="1"/>
  <c r="B7636" i="1"/>
  <c r="A7637" i="1"/>
  <c r="A7638" i="1"/>
  <c r="B7638" i="1"/>
  <c r="A7639" i="1"/>
  <c r="B7639" i="1"/>
  <c r="A7640" i="1"/>
  <c r="B7640" i="1"/>
  <c r="A7641" i="1"/>
  <c r="B7641" i="1"/>
  <c r="A7642" i="1"/>
  <c r="B7642" i="1"/>
  <c r="A7643" i="1"/>
  <c r="B7643" i="1"/>
  <c r="A7644" i="1"/>
  <c r="B7644" i="1"/>
  <c r="A7645" i="1"/>
  <c r="A7646" i="1"/>
  <c r="B7646" i="1"/>
  <c r="A7647" i="1"/>
  <c r="B7647" i="1"/>
  <c r="A7648" i="1"/>
  <c r="A7649" i="1"/>
  <c r="A7650" i="1"/>
  <c r="B7650" i="1"/>
  <c r="A7651" i="1"/>
  <c r="B7651" i="1"/>
  <c r="A7652" i="1"/>
  <c r="B7652" i="1"/>
  <c r="A7653" i="1"/>
  <c r="B7653" i="1"/>
  <c r="A7654" i="1"/>
  <c r="B7654" i="1"/>
  <c r="A7655" i="1"/>
  <c r="B7655" i="1"/>
  <c r="A7656" i="1"/>
  <c r="B7656" i="1"/>
  <c r="A7657" i="1"/>
  <c r="B7657" i="1"/>
  <c r="A7658" i="1"/>
  <c r="B7658" i="1"/>
  <c r="A7659" i="1"/>
  <c r="B7659" i="1"/>
  <c r="A7660" i="1"/>
  <c r="A7661" i="1"/>
  <c r="B7661" i="1"/>
  <c r="A7662" i="1"/>
  <c r="B7662" i="1"/>
  <c r="A7663" i="1"/>
  <c r="A7664" i="1"/>
  <c r="A7665" i="1"/>
  <c r="B7665" i="1"/>
  <c r="A7666" i="1"/>
  <c r="A7667" i="1"/>
  <c r="B7667" i="1"/>
  <c r="A7668" i="1"/>
  <c r="B7668" i="1"/>
  <c r="A7669" i="1"/>
  <c r="B7669" i="1"/>
  <c r="A7670" i="1"/>
  <c r="B7670" i="1"/>
  <c r="A7671" i="1"/>
  <c r="B7671" i="1"/>
  <c r="A7672" i="1"/>
  <c r="B7672" i="1"/>
  <c r="A7673" i="1"/>
  <c r="B7673" i="1"/>
  <c r="A7674" i="1"/>
  <c r="B7674" i="1"/>
  <c r="A7675" i="1"/>
  <c r="B7675" i="1"/>
  <c r="A7676" i="1"/>
  <c r="A7677" i="1"/>
  <c r="B7677" i="1"/>
  <c r="A7678" i="1"/>
  <c r="B7678" i="1"/>
  <c r="A7679" i="1"/>
  <c r="B7679" i="1"/>
  <c r="A7680" i="1"/>
  <c r="B7680" i="1"/>
  <c r="A7681" i="1"/>
  <c r="B7681" i="1"/>
  <c r="A7682" i="1"/>
  <c r="B7682" i="1"/>
  <c r="A7683" i="1"/>
  <c r="B7683" i="1"/>
  <c r="A7684" i="1"/>
  <c r="B7684" i="1"/>
  <c r="A7685" i="1"/>
  <c r="A7686" i="1"/>
  <c r="B7686" i="1"/>
  <c r="A7687" i="1"/>
  <c r="B7687" i="1"/>
  <c r="A7688" i="1"/>
  <c r="B7688" i="1"/>
  <c r="A7689" i="1"/>
  <c r="B7689" i="1"/>
  <c r="A7690" i="1"/>
  <c r="B7690" i="1"/>
  <c r="A7691" i="1"/>
  <c r="B7691" i="1"/>
  <c r="A7692" i="1"/>
  <c r="B7692" i="1"/>
  <c r="A7693" i="1"/>
  <c r="B7693" i="1"/>
  <c r="A7694" i="1"/>
  <c r="B7694" i="1"/>
  <c r="A7695" i="1"/>
  <c r="B7695" i="1"/>
  <c r="A7696" i="1"/>
  <c r="A7697" i="1"/>
  <c r="A7698" i="1"/>
  <c r="A7699" i="1"/>
  <c r="A7700" i="1"/>
  <c r="B7700" i="1"/>
  <c r="A7701" i="1"/>
  <c r="B7701" i="1"/>
  <c r="A7702" i="1"/>
  <c r="B7702" i="1"/>
  <c r="A7703" i="1"/>
  <c r="B7703" i="1"/>
  <c r="A7704" i="1"/>
  <c r="B7704" i="1"/>
  <c r="A7705" i="1"/>
  <c r="B7705" i="1"/>
  <c r="A7706" i="1"/>
  <c r="B7706" i="1"/>
  <c r="A7707" i="1"/>
  <c r="B7707" i="1"/>
  <c r="A7708" i="1"/>
  <c r="B7708" i="1"/>
  <c r="A7709" i="1"/>
  <c r="B7709" i="1"/>
  <c r="A7710" i="1"/>
  <c r="B7710" i="1"/>
  <c r="A7711" i="1"/>
  <c r="B7711" i="1"/>
  <c r="A7712" i="1"/>
  <c r="B7712" i="1"/>
  <c r="A7713" i="1"/>
  <c r="B7713" i="1"/>
  <c r="A7714" i="1"/>
  <c r="B7714" i="1"/>
  <c r="A7715" i="1"/>
  <c r="B7715" i="1"/>
  <c r="A7716" i="1"/>
  <c r="B7716" i="1"/>
  <c r="A7717" i="1"/>
  <c r="A7718" i="1"/>
  <c r="A7719" i="1"/>
  <c r="B7719" i="1"/>
  <c r="A7720" i="1"/>
  <c r="B7720" i="1"/>
  <c r="A7721" i="1"/>
  <c r="B7721" i="1"/>
  <c r="A7722" i="1"/>
  <c r="B7722" i="1"/>
  <c r="A7723" i="1"/>
  <c r="B7723" i="1"/>
  <c r="A7724" i="1"/>
  <c r="B7724" i="1"/>
  <c r="A7725" i="1"/>
  <c r="B7725" i="1"/>
  <c r="A7726" i="1"/>
  <c r="B7726" i="1"/>
  <c r="A7727" i="1"/>
  <c r="B7727" i="1"/>
  <c r="A7728" i="1"/>
  <c r="A7729" i="1"/>
  <c r="B7729" i="1"/>
  <c r="A7730" i="1"/>
  <c r="B7730" i="1"/>
  <c r="A7731" i="1"/>
  <c r="B7731" i="1"/>
  <c r="A7732" i="1"/>
  <c r="B7732" i="1"/>
  <c r="A7733" i="1"/>
  <c r="B7733" i="1"/>
  <c r="A7734" i="1"/>
  <c r="B7734" i="1"/>
  <c r="A7735" i="1"/>
  <c r="B7735" i="1"/>
  <c r="A7736" i="1"/>
  <c r="B7736" i="1"/>
  <c r="A7737" i="1"/>
  <c r="A7738" i="1"/>
  <c r="B7738" i="1"/>
  <c r="A7739" i="1"/>
  <c r="B7739" i="1"/>
  <c r="A7740" i="1"/>
  <c r="B7740" i="1"/>
  <c r="A7741" i="1"/>
  <c r="B7741" i="1"/>
  <c r="A7742" i="1"/>
  <c r="B7742" i="1"/>
  <c r="A7743" i="1"/>
  <c r="B7743" i="1"/>
  <c r="A7744" i="1"/>
  <c r="A7745" i="1"/>
  <c r="B7745" i="1"/>
  <c r="A7746" i="1"/>
  <c r="B7746" i="1"/>
  <c r="A7747" i="1"/>
  <c r="A7748" i="1"/>
  <c r="B7748" i="1"/>
  <c r="A7749" i="1"/>
  <c r="B7749" i="1"/>
  <c r="A7750" i="1"/>
  <c r="B7750" i="1"/>
  <c r="A7751" i="1"/>
  <c r="B7751" i="1"/>
  <c r="A7752" i="1"/>
  <c r="B7752" i="1"/>
  <c r="A7753" i="1"/>
  <c r="B7753" i="1"/>
  <c r="A7754" i="1"/>
  <c r="B7754" i="1"/>
  <c r="A7755" i="1"/>
  <c r="B7755" i="1"/>
  <c r="A7756" i="1"/>
  <c r="B7756" i="1"/>
  <c r="A7757" i="1"/>
  <c r="A7758" i="1"/>
  <c r="A7759" i="1"/>
  <c r="A7760" i="1"/>
  <c r="A7761" i="1"/>
  <c r="B7761" i="1"/>
  <c r="A7762" i="1"/>
  <c r="B7762" i="1"/>
  <c r="A7763" i="1"/>
  <c r="B7763" i="1"/>
  <c r="A7764" i="1"/>
  <c r="A7765" i="1"/>
  <c r="B7765" i="1"/>
  <c r="A7766" i="1"/>
  <c r="B7766" i="1"/>
  <c r="A7767" i="1"/>
  <c r="B7767" i="1"/>
  <c r="A7768" i="1"/>
  <c r="B7768" i="1"/>
  <c r="A7769" i="1"/>
  <c r="A7770" i="1"/>
  <c r="B7770" i="1"/>
  <c r="A7771" i="1"/>
  <c r="B7771" i="1"/>
  <c r="A7772" i="1"/>
  <c r="A7773" i="1"/>
  <c r="B7773" i="1"/>
  <c r="A7774" i="1"/>
  <c r="B7774" i="1"/>
  <c r="A7775" i="1"/>
  <c r="B7775" i="1"/>
  <c r="A7776" i="1"/>
  <c r="A7777" i="1"/>
  <c r="B7777" i="1"/>
  <c r="A7778" i="1"/>
  <c r="B7778" i="1"/>
  <c r="A7779" i="1"/>
  <c r="B7779" i="1"/>
  <c r="A7780" i="1"/>
  <c r="B7780" i="1"/>
  <c r="A7781" i="1"/>
  <c r="B7781" i="1"/>
  <c r="A7782" i="1"/>
  <c r="B7782" i="1"/>
  <c r="A7783" i="1"/>
  <c r="B7783" i="1"/>
  <c r="A7784" i="1"/>
  <c r="B7784" i="1"/>
  <c r="A7785" i="1"/>
  <c r="B7785" i="1"/>
  <c r="A7786" i="1"/>
  <c r="B7786" i="1"/>
  <c r="A7787" i="1"/>
  <c r="B7787" i="1"/>
  <c r="A7788" i="1"/>
  <c r="B7788" i="1"/>
  <c r="A7789" i="1"/>
  <c r="B7789" i="1"/>
  <c r="A7790" i="1"/>
  <c r="B7790" i="1"/>
  <c r="A7791" i="1"/>
  <c r="B7791" i="1"/>
  <c r="A7792" i="1"/>
  <c r="A7793" i="1"/>
  <c r="B7793" i="1"/>
  <c r="A7794" i="1"/>
  <c r="B7794" i="1"/>
  <c r="A7795" i="1"/>
  <c r="A7796" i="1"/>
  <c r="B7796" i="1"/>
  <c r="A7797" i="1"/>
  <c r="B7797" i="1"/>
  <c r="A7798" i="1"/>
  <c r="B7798" i="1"/>
  <c r="A7799" i="1"/>
  <c r="A7800" i="1"/>
  <c r="A7801" i="1"/>
  <c r="A7802" i="1"/>
  <c r="B7802" i="1"/>
  <c r="A7803" i="1"/>
  <c r="B7803" i="1"/>
  <c r="A7804" i="1"/>
  <c r="B7804" i="1"/>
  <c r="A7805" i="1"/>
  <c r="B7805" i="1"/>
  <c r="A7806" i="1"/>
  <c r="B7806" i="1"/>
  <c r="A7807" i="1"/>
  <c r="A7808" i="1"/>
  <c r="A7809" i="1"/>
  <c r="B7809" i="1"/>
  <c r="A7810" i="1"/>
  <c r="B7810" i="1"/>
  <c r="A7811" i="1"/>
  <c r="B7811" i="1"/>
  <c r="A7812" i="1"/>
  <c r="B7812" i="1"/>
  <c r="A7813" i="1"/>
  <c r="B7813" i="1"/>
  <c r="A7814" i="1"/>
  <c r="B7814" i="1"/>
  <c r="A7815" i="1"/>
  <c r="B7815" i="1"/>
  <c r="A7816" i="1"/>
  <c r="A7817" i="1"/>
  <c r="A7818" i="1"/>
  <c r="A7819" i="1"/>
  <c r="A7820" i="1"/>
  <c r="B7820" i="1"/>
  <c r="A7821" i="1"/>
  <c r="B7821" i="1"/>
  <c r="A7822" i="1"/>
  <c r="B7822" i="1"/>
  <c r="A7823" i="1"/>
  <c r="A7824" i="1"/>
  <c r="A7825" i="1"/>
  <c r="B7825" i="1"/>
  <c r="A7826" i="1"/>
  <c r="B7826" i="1"/>
  <c r="A7827" i="1"/>
  <c r="A7828" i="1"/>
  <c r="B7828" i="1"/>
  <c r="A7829" i="1"/>
  <c r="A7830" i="1"/>
  <c r="B7830" i="1"/>
  <c r="A7831" i="1"/>
  <c r="B7831" i="1"/>
  <c r="A7832" i="1"/>
  <c r="A7833" i="1"/>
  <c r="A7834" i="1"/>
  <c r="B7834" i="1"/>
  <c r="A7835" i="1"/>
  <c r="A7836" i="1"/>
  <c r="B7836" i="1"/>
  <c r="A7837" i="1"/>
  <c r="B7837" i="1"/>
  <c r="A7838" i="1"/>
  <c r="A7839" i="1"/>
  <c r="A7840" i="1"/>
  <c r="B7840" i="1"/>
  <c r="A7841" i="1"/>
  <c r="B7841" i="1"/>
  <c r="A7842" i="1"/>
  <c r="B7842" i="1"/>
  <c r="A7843" i="1"/>
  <c r="B7843" i="1"/>
  <c r="A7844" i="1"/>
  <c r="A7845" i="1"/>
  <c r="B7845" i="1"/>
  <c r="A7846" i="1"/>
  <c r="B7846" i="1"/>
  <c r="A7847" i="1"/>
  <c r="B7847" i="1"/>
  <c r="A7848" i="1"/>
  <c r="A7849" i="1"/>
  <c r="B7849" i="1"/>
  <c r="A7850" i="1"/>
  <c r="B7850" i="1"/>
  <c r="A7851" i="1"/>
  <c r="B7851" i="1"/>
  <c r="A7852" i="1"/>
  <c r="B7852" i="1"/>
  <c r="A7853" i="1"/>
  <c r="A7854" i="1"/>
  <c r="B7854" i="1"/>
  <c r="A7855" i="1"/>
  <c r="B7855" i="1"/>
  <c r="A7856" i="1"/>
  <c r="B7856" i="1"/>
  <c r="A7857" i="1"/>
  <c r="B7857" i="1"/>
  <c r="A7858" i="1"/>
  <c r="B7858" i="1"/>
  <c r="A7859" i="1"/>
  <c r="B7859" i="1"/>
  <c r="A7860" i="1"/>
  <c r="B7860" i="1"/>
  <c r="A7861" i="1"/>
  <c r="B7861" i="1"/>
  <c r="A7862" i="1"/>
  <c r="B7862" i="1"/>
  <c r="A7863" i="1"/>
  <c r="A7864" i="1"/>
  <c r="A7865" i="1"/>
  <c r="B7865" i="1"/>
  <c r="A7866" i="1"/>
  <c r="B7866" i="1"/>
  <c r="A7867" i="1"/>
  <c r="A7868" i="1"/>
  <c r="B7868" i="1"/>
  <c r="A7869" i="1"/>
  <c r="A7870" i="1"/>
  <c r="A7871" i="1"/>
  <c r="B7871" i="1"/>
  <c r="A7872" i="1"/>
  <c r="A7873" i="1"/>
  <c r="B7873" i="1"/>
  <c r="A7874" i="1"/>
  <c r="A7875" i="1"/>
  <c r="A7876" i="1"/>
  <c r="B7876" i="1"/>
  <c r="A7877" i="1"/>
  <c r="A7878" i="1"/>
  <c r="A7879" i="1"/>
  <c r="B7879" i="1"/>
  <c r="A7880" i="1"/>
  <c r="A7881" i="1"/>
  <c r="B7881" i="1"/>
  <c r="A7882" i="1"/>
  <c r="B7882" i="1"/>
  <c r="A7883" i="1"/>
  <c r="A7884" i="1"/>
  <c r="A7885" i="1"/>
  <c r="A7886" i="1"/>
  <c r="B7886" i="1"/>
  <c r="A7887" i="1"/>
  <c r="A7888" i="1"/>
  <c r="A7889" i="1"/>
  <c r="A7890" i="1"/>
  <c r="B7890" i="1"/>
  <c r="A7891" i="1"/>
  <c r="B7891" i="1"/>
  <c r="A7892" i="1"/>
  <c r="B7892" i="1"/>
  <c r="A7893" i="1"/>
  <c r="B7893" i="1"/>
  <c r="A7894" i="1"/>
  <c r="B7894" i="1"/>
  <c r="A7895" i="1"/>
  <c r="B7895" i="1"/>
  <c r="A7896" i="1"/>
  <c r="B7896" i="1"/>
  <c r="A7897" i="1"/>
  <c r="A7898" i="1"/>
  <c r="A7899" i="1"/>
  <c r="B7899" i="1"/>
  <c r="A7900" i="1"/>
  <c r="B7900" i="1"/>
  <c r="A7901" i="1"/>
  <c r="B7901" i="1"/>
  <c r="A7902" i="1"/>
  <c r="B7902" i="1"/>
  <c r="A7903" i="1"/>
  <c r="B7903" i="1"/>
  <c r="A7904" i="1"/>
  <c r="A7905" i="1"/>
  <c r="B7905" i="1"/>
  <c r="A7906" i="1"/>
  <c r="A7907" i="1"/>
  <c r="B7907" i="1"/>
  <c r="A7908" i="1"/>
  <c r="B7908" i="1"/>
  <c r="A7909" i="1"/>
  <c r="B7909" i="1"/>
  <c r="A7910" i="1"/>
  <c r="B7910" i="1"/>
  <c r="A7911" i="1"/>
  <c r="B7911" i="1"/>
  <c r="A7912" i="1"/>
  <c r="B7912" i="1"/>
  <c r="A7913" i="1"/>
  <c r="A7914" i="1"/>
  <c r="A7915" i="1"/>
  <c r="B7915" i="1"/>
  <c r="A7916" i="1"/>
  <c r="B7916" i="1"/>
  <c r="A7917" i="1"/>
  <c r="B7917" i="1"/>
  <c r="A7918" i="1"/>
  <c r="B7918" i="1"/>
  <c r="A7919" i="1"/>
  <c r="B7919" i="1"/>
  <c r="A7920" i="1"/>
  <c r="B7920" i="1"/>
  <c r="A7921" i="1"/>
  <c r="B7921" i="1"/>
  <c r="A7922" i="1"/>
  <c r="A7923" i="1"/>
  <c r="B7923" i="1"/>
  <c r="A7924" i="1"/>
  <c r="B7924" i="1"/>
  <c r="A7925" i="1"/>
  <c r="B7925" i="1"/>
  <c r="A7926" i="1"/>
  <c r="B7926" i="1"/>
  <c r="A7927" i="1"/>
  <c r="B7927" i="1"/>
  <c r="A7928" i="1"/>
  <c r="B7928" i="1"/>
  <c r="A7929" i="1"/>
  <c r="B7929" i="1"/>
  <c r="A7930" i="1"/>
  <c r="A7931" i="1"/>
  <c r="B7931" i="1"/>
  <c r="A7932" i="1"/>
  <c r="B7932" i="1"/>
  <c r="A7933" i="1"/>
  <c r="B7933" i="1"/>
  <c r="A7934" i="1"/>
  <c r="B7934" i="1"/>
  <c r="A7935" i="1"/>
  <c r="B7935" i="1"/>
  <c r="A7936" i="1"/>
  <c r="B7936" i="1"/>
  <c r="A7937" i="1"/>
  <c r="B7937" i="1"/>
  <c r="A7938" i="1"/>
  <c r="B7938" i="1"/>
  <c r="A7939" i="1"/>
  <c r="B7939" i="1"/>
  <c r="A7940" i="1"/>
  <c r="B7940" i="1"/>
  <c r="A7941" i="1"/>
  <c r="B7941" i="1"/>
  <c r="A7942" i="1"/>
  <c r="B7942" i="1"/>
  <c r="A7943" i="1"/>
  <c r="B7943" i="1"/>
  <c r="A7944" i="1"/>
  <c r="A7945" i="1"/>
  <c r="B7945" i="1"/>
  <c r="A7946" i="1"/>
  <c r="B7946" i="1"/>
  <c r="A7947" i="1"/>
  <c r="B7947" i="1"/>
  <c r="A7948" i="1"/>
  <c r="A7949" i="1"/>
  <c r="B7949" i="1"/>
  <c r="A7950" i="1"/>
  <c r="B7950" i="1"/>
  <c r="A7951" i="1"/>
  <c r="B7951" i="1"/>
  <c r="A7952" i="1"/>
  <c r="B7952" i="1"/>
  <c r="A7953" i="1"/>
  <c r="B7953" i="1"/>
  <c r="A7954" i="1"/>
  <c r="A7955" i="1"/>
  <c r="B7955" i="1"/>
  <c r="A7956" i="1"/>
  <c r="A7957" i="1"/>
  <c r="B7957" i="1"/>
  <c r="A7958" i="1"/>
  <c r="B7958" i="1"/>
  <c r="A7959" i="1"/>
  <c r="B7959" i="1"/>
  <c r="A7960" i="1"/>
  <c r="B7960" i="1"/>
  <c r="A7961" i="1"/>
  <c r="A7962" i="1"/>
  <c r="B7962" i="1"/>
  <c r="A7963" i="1"/>
  <c r="B7963" i="1"/>
  <c r="A7964" i="1"/>
  <c r="A7965" i="1"/>
  <c r="B7965" i="1"/>
  <c r="A7966" i="1"/>
  <c r="A7967" i="1"/>
  <c r="B7967" i="1"/>
  <c r="A7968" i="1"/>
  <c r="B7968" i="1"/>
  <c r="A7969" i="1"/>
  <c r="B7969" i="1"/>
  <c r="A7970" i="1"/>
  <c r="B7970" i="1"/>
  <c r="A7971" i="1"/>
  <c r="B7971" i="1"/>
  <c r="A7972" i="1"/>
  <c r="B7972" i="1"/>
  <c r="A7973" i="1"/>
  <c r="B7973" i="1"/>
  <c r="A7974" i="1"/>
  <c r="B7974" i="1"/>
  <c r="A7975" i="1"/>
  <c r="B7975" i="1"/>
  <c r="A7976" i="1"/>
  <c r="B7976" i="1"/>
  <c r="A7977" i="1"/>
  <c r="A7978" i="1"/>
  <c r="B7978" i="1"/>
  <c r="A7979" i="1"/>
  <c r="A7980" i="1"/>
  <c r="B7980" i="1"/>
  <c r="A7981" i="1"/>
  <c r="B7981" i="1"/>
  <c r="A7982" i="1"/>
  <c r="B7982" i="1"/>
  <c r="A7983" i="1"/>
  <c r="B7983" i="1"/>
  <c r="A7984" i="1"/>
  <c r="B7984" i="1"/>
  <c r="A7985" i="1"/>
  <c r="B7985" i="1"/>
  <c r="A7986" i="1"/>
  <c r="B7986" i="1"/>
  <c r="A7987" i="1"/>
  <c r="B7987" i="1"/>
  <c r="A7988" i="1"/>
  <c r="B7988" i="1"/>
  <c r="A7989" i="1"/>
  <c r="A7990" i="1"/>
  <c r="B7990" i="1"/>
  <c r="A7991" i="1"/>
  <c r="B7991" i="1"/>
  <c r="A7992" i="1"/>
  <c r="A7993" i="1"/>
  <c r="B7993" i="1"/>
  <c r="A7994" i="1"/>
  <c r="B7994" i="1"/>
  <c r="A7995" i="1"/>
  <c r="B7995" i="1"/>
  <c r="A7996" i="1"/>
  <c r="A7997" i="1"/>
  <c r="B7997" i="1"/>
  <c r="A7998" i="1"/>
  <c r="B7998" i="1"/>
  <c r="A7999" i="1"/>
  <c r="B7999" i="1"/>
  <c r="A8000" i="1"/>
  <c r="B8000" i="1"/>
  <c r="A8001" i="1"/>
  <c r="B8001" i="1"/>
  <c r="A8002" i="1"/>
  <c r="B8002" i="1"/>
  <c r="A8003" i="1"/>
  <c r="B8003" i="1"/>
  <c r="A8004" i="1"/>
  <c r="B8004" i="1"/>
  <c r="A8005" i="1"/>
  <c r="B8005" i="1"/>
  <c r="A8006" i="1"/>
  <c r="B8006" i="1"/>
  <c r="A8007" i="1"/>
  <c r="B8007" i="1"/>
  <c r="A8008" i="1"/>
  <c r="B8008" i="1"/>
  <c r="A8009" i="1"/>
  <c r="B8009" i="1"/>
  <c r="A8010" i="1"/>
  <c r="B8010" i="1"/>
  <c r="A8011" i="1"/>
  <c r="B8011" i="1"/>
  <c r="A8012" i="1"/>
  <c r="B8012" i="1"/>
  <c r="A8013" i="1"/>
  <c r="B8013" i="1"/>
  <c r="A8014" i="1"/>
  <c r="B8014" i="1"/>
  <c r="A8015" i="1"/>
  <c r="B8015" i="1"/>
  <c r="A8016" i="1"/>
  <c r="B8016" i="1"/>
  <c r="A8017" i="1"/>
  <c r="B8017" i="1"/>
  <c r="A8018" i="1"/>
  <c r="B8018" i="1"/>
  <c r="A8019" i="1"/>
  <c r="B8019" i="1"/>
  <c r="A8020" i="1"/>
  <c r="B8020" i="1"/>
  <c r="A8021" i="1"/>
  <c r="B8021" i="1"/>
  <c r="A8022" i="1"/>
  <c r="B8022" i="1"/>
  <c r="A8023" i="1"/>
  <c r="B8023" i="1"/>
  <c r="A8024" i="1"/>
  <c r="B8024" i="1"/>
  <c r="A8025" i="1"/>
  <c r="B8025" i="1"/>
  <c r="A8026" i="1"/>
  <c r="B8026" i="1"/>
  <c r="A8027" i="1"/>
  <c r="B8027" i="1"/>
  <c r="A8028" i="1"/>
  <c r="B8028" i="1"/>
  <c r="A8029" i="1"/>
  <c r="B8029" i="1"/>
  <c r="A8030" i="1"/>
  <c r="B8030" i="1"/>
  <c r="A8031" i="1"/>
  <c r="A8032" i="1"/>
  <c r="A8033" i="1"/>
  <c r="B8033" i="1"/>
  <c r="A8034" i="1"/>
  <c r="B8034" i="1"/>
  <c r="A8035" i="1"/>
  <c r="B8035" i="1"/>
  <c r="A8036" i="1"/>
  <c r="A8037" i="1"/>
  <c r="B8037" i="1"/>
  <c r="A8038" i="1"/>
  <c r="B8038" i="1"/>
  <c r="A8039" i="1"/>
  <c r="B8039" i="1"/>
  <c r="A8040" i="1"/>
  <c r="B8040" i="1"/>
  <c r="A8041" i="1"/>
  <c r="A8042" i="1"/>
  <c r="B8042" i="1"/>
  <c r="A8043" i="1"/>
  <c r="A8044" i="1"/>
  <c r="B8044" i="1"/>
  <c r="A8045" i="1"/>
  <c r="B8045" i="1"/>
  <c r="A8046" i="1"/>
  <c r="B8046" i="1"/>
  <c r="A8047" i="1"/>
  <c r="B8047" i="1"/>
  <c r="A8048" i="1"/>
  <c r="B8048" i="1"/>
  <c r="A8049" i="1"/>
  <c r="A8050" i="1"/>
  <c r="A8051" i="1"/>
  <c r="A8052" i="1"/>
  <c r="A8053" i="1"/>
  <c r="B8053" i="1"/>
  <c r="A8054" i="1"/>
  <c r="B8054" i="1"/>
  <c r="A8055" i="1"/>
  <c r="A8056" i="1"/>
  <c r="B8056" i="1"/>
  <c r="A8057" i="1"/>
  <c r="B8057" i="1"/>
  <c r="A8058" i="1"/>
  <c r="B8058" i="1"/>
  <c r="A8059" i="1"/>
  <c r="A8060" i="1"/>
  <c r="A8061" i="1"/>
  <c r="A8062" i="1"/>
  <c r="B8062" i="1"/>
  <c r="A8063" i="1"/>
  <c r="B8063" i="1"/>
  <c r="A8064" i="1"/>
  <c r="B8064" i="1"/>
  <c r="A8065" i="1"/>
  <c r="B8065" i="1"/>
  <c r="A8066" i="1"/>
  <c r="A8067" i="1"/>
  <c r="B8067" i="1"/>
  <c r="A8068" i="1"/>
  <c r="B8068" i="1"/>
  <c r="A8069" i="1"/>
  <c r="B8069" i="1"/>
  <c r="A8070" i="1"/>
  <c r="B8070" i="1"/>
  <c r="A8071" i="1"/>
  <c r="B8071" i="1"/>
  <c r="A8072" i="1"/>
  <c r="B8072" i="1"/>
  <c r="A8073" i="1"/>
  <c r="B8073" i="1"/>
  <c r="A8074" i="1"/>
  <c r="B8074" i="1"/>
  <c r="A8075" i="1"/>
  <c r="B8075" i="1"/>
  <c r="A8076" i="1"/>
  <c r="B8076" i="1"/>
  <c r="A8077" i="1"/>
  <c r="A8078" i="1"/>
  <c r="B8078" i="1"/>
  <c r="A8079" i="1"/>
  <c r="A8080" i="1"/>
  <c r="B8080" i="1"/>
  <c r="A8081" i="1"/>
  <c r="A8082" i="1"/>
  <c r="B8082" i="1"/>
  <c r="A8083" i="1"/>
  <c r="B8083" i="1"/>
  <c r="A8084" i="1"/>
  <c r="A8085" i="1"/>
  <c r="B8085" i="1"/>
  <c r="A8086" i="1"/>
  <c r="B8086" i="1"/>
  <c r="A8087" i="1"/>
  <c r="B8087" i="1"/>
  <c r="A8088" i="1"/>
  <c r="B8088" i="1"/>
  <c r="A8089" i="1"/>
  <c r="B8089" i="1"/>
  <c r="A8090" i="1"/>
  <c r="B8090" i="1"/>
  <c r="A8091" i="1"/>
  <c r="B8091" i="1"/>
  <c r="A8092" i="1"/>
  <c r="A8093" i="1"/>
  <c r="B8093" i="1"/>
  <c r="A8094" i="1"/>
  <c r="A8095" i="1"/>
  <c r="B8095" i="1"/>
  <c r="A8096" i="1"/>
  <c r="B8096" i="1"/>
  <c r="A8097" i="1"/>
  <c r="A8098" i="1"/>
  <c r="A8099" i="1"/>
  <c r="B8099" i="1"/>
  <c r="A8100" i="1"/>
  <c r="A8101" i="1"/>
  <c r="B8101" i="1"/>
  <c r="A8102" i="1"/>
  <c r="B8102" i="1"/>
  <c r="A8103" i="1"/>
  <c r="B8103" i="1"/>
  <c r="A8104" i="1"/>
  <c r="B8104" i="1"/>
  <c r="A8105" i="1"/>
  <c r="B8105" i="1"/>
  <c r="A8106" i="1"/>
  <c r="B8106" i="1"/>
  <c r="A8107" i="1"/>
  <c r="B8107" i="1"/>
  <c r="A8108" i="1"/>
  <c r="B8108" i="1"/>
  <c r="A8109" i="1"/>
  <c r="B8109" i="1"/>
  <c r="A8110" i="1"/>
  <c r="B8110" i="1"/>
  <c r="A8111" i="1"/>
  <c r="B8111" i="1"/>
  <c r="A8112" i="1"/>
  <c r="B8112" i="1"/>
  <c r="A8113" i="1"/>
  <c r="B8113" i="1"/>
  <c r="A8114" i="1"/>
  <c r="B8114" i="1"/>
  <c r="A8115" i="1"/>
  <c r="B8115" i="1"/>
  <c r="A8116" i="1"/>
  <c r="B8116" i="1"/>
  <c r="A8117" i="1"/>
  <c r="A8118" i="1"/>
  <c r="B8118" i="1"/>
  <c r="A8119" i="1"/>
  <c r="B8119" i="1"/>
  <c r="A8120" i="1"/>
  <c r="B8120" i="1"/>
  <c r="A8121" i="1"/>
  <c r="B8121" i="1"/>
  <c r="A8122" i="1"/>
  <c r="B8122" i="1"/>
  <c r="A8123" i="1"/>
  <c r="B8123" i="1"/>
  <c r="A8124" i="1"/>
  <c r="A8125" i="1"/>
  <c r="B8125" i="1"/>
  <c r="A8126" i="1"/>
  <c r="A8127" i="1"/>
  <c r="B8127" i="1"/>
  <c r="A8128" i="1"/>
  <c r="B8128" i="1"/>
  <c r="A8129" i="1"/>
  <c r="B8129" i="1"/>
  <c r="A8130" i="1"/>
  <c r="B8130" i="1"/>
  <c r="A8131" i="1"/>
  <c r="A8132" i="1"/>
  <c r="A8133" i="1"/>
  <c r="A8134" i="1"/>
  <c r="B8134" i="1"/>
  <c r="A8135" i="1"/>
  <c r="A8136" i="1"/>
  <c r="B8136" i="1"/>
  <c r="A8137" i="1"/>
  <c r="B8137" i="1"/>
  <c r="A8138" i="1"/>
  <c r="A8139" i="1"/>
  <c r="B8139" i="1"/>
  <c r="A8140" i="1"/>
  <c r="B8140" i="1"/>
  <c r="A8141" i="1"/>
  <c r="B8141" i="1"/>
  <c r="A8142" i="1"/>
  <c r="B8142" i="1"/>
  <c r="A8143" i="1"/>
  <c r="B8143" i="1"/>
  <c r="A8144" i="1"/>
  <c r="B8144" i="1"/>
  <c r="A8145" i="1"/>
  <c r="B8145" i="1"/>
  <c r="A8146" i="1"/>
  <c r="B8146" i="1"/>
  <c r="A8147" i="1"/>
  <c r="B8147" i="1"/>
  <c r="A8148" i="1"/>
  <c r="A8149" i="1"/>
  <c r="B8149" i="1"/>
  <c r="A8150" i="1"/>
  <c r="B8150" i="1"/>
  <c r="A8151" i="1"/>
  <c r="B8151" i="1"/>
  <c r="A8152" i="1"/>
  <c r="B8152" i="1"/>
  <c r="A8153" i="1"/>
  <c r="A8154" i="1"/>
  <c r="A8155" i="1"/>
  <c r="B8155" i="1"/>
  <c r="A8156" i="1"/>
  <c r="B8156" i="1"/>
  <c r="A8157" i="1"/>
  <c r="A8158" i="1"/>
  <c r="B8158" i="1"/>
  <c r="A8159" i="1"/>
  <c r="B8159" i="1"/>
  <c r="A8160" i="1"/>
  <c r="B8160" i="1"/>
  <c r="A8161" i="1"/>
  <c r="B8161" i="1"/>
  <c r="A8162" i="1"/>
  <c r="B8162" i="1"/>
  <c r="A8163" i="1"/>
  <c r="B8163" i="1"/>
  <c r="A8164" i="1"/>
  <c r="A8165" i="1"/>
  <c r="B8165" i="1"/>
  <c r="A8166" i="1"/>
  <c r="B8166" i="1"/>
  <c r="A8167" i="1"/>
  <c r="B8167" i="1"/>
  <c r="A8168" i="1"/>
  <c r="A8169" i="1"/>
  <c r="B8169" i="1"/>
  <c r="A8170" i="1"/>
  <c r="B8170" i="1"/>
  <c r="A8171" i="1"/>
  <c r="B8171" i="1"/>
  <c r="A8172" i="1"/>
  <c r="B8172" i="1"/>
  <c r="A8173" i="1"/>
  <c r="A8174" i="1"/>
  <c r="A8175" i="1"/>
  <c r="B8175" i="1"/>
  <c r="A8176" i="1"/>
  <c r="B8176" i="1"/>
  <c r="A8177" i="1"/>
  <c r="B8177" i="1"/>
  <c r="A8178" i="1"/>
  <c r="B8178" i="1"/>
  <c r="A8179" i="1"/>
  <c r="A8180" i="1"/>
  <c r="B8180" i="1"/>
  <c r="A8181" i="1"/>
  <c r="B8181" i="1"/>
  <c r="A8182" i="1"/>
  <c r="B8182" i="1"/>
  <c r="A8183" i="1"/>
  <c r="B8183" i="1"/>
  <c r="A8184" i="1"/>
  <c r="B8184" i="1"/>
  <c r="A8185" i="1"/>
  <c r="B8185" i="1"/>
  <c r="A8186" i="1"/>
  <c r="B8186" i="1"/>
  <c r="A8187" i="1"/>
  <c r="B8187" i="1"/>
  <c r="A8188" i="1"/>
  <c r="A8189" i="1"/>
  <c r="A8190" i="1"/>
  <c r="A8191" i="1"/>
  <c r="A8192" i="1"/>
  <c r="B8192" i="1"/>
  <c r="A8193" i="1"/>
  <c r="B8193" i="1"/>
  <c r="A8194" i="1"/>
  <c r="A8195" i="1"/>
  <c r="B8195" i="1"/>
  <c r="A8196" i="1"/>
  <c r="A8197" i="1"/>
  <c r="A8198" i="1"/>
  <c r="B8198" i="1"/>
  <c r="A8199" i="1"/>
  <c r="A8200" i="1"/>
  <c r="B8200" i="1"/>
  <c r="A8201" i="1"/>
  <c r="B8201" i="1"/>
  <c r="A8202" i="1"/>
  <c r="B8202" i="1"/>
  <c r="A8203" i="1"/>
  <c r="B8203" i="1"/>
  <c r="A8204" i="1"/>
  <c r="B8204" i="1"/>
  <c r="A8205" i="1"/>
  <c r="B8205" i="1"/>
  <c r="A8206" i="1"/>
  <c r="B8206" i="1"/>
  <c r="A8207" i="1"/>
  <c r="B8207" i="1"/>
  <c r="A8208" i="1"/>
  <c r="A8209" i="1"/>
  <c r="B8209" i="1"/>
  <c r="A8210" i="1"/>
  <c r="A8211" i="1"/>
  <c r="B8211" i="1"/>
  <c r="A8212" i="1"/>
  <c r="B8212" i="1"/>
  <c r="A8213" i="1"/>
  <c r="B8213" i="1"/>
  <c r="A8214" i="1"/>
  <c r="B8214" i="1"/>
  <c r="A8215" i="1"/>
  <c r="B8215" i="1"/>
  <c r="A8216" i="1"/>
  <c r="B8216" i="1"/>
  <c r="A8217" i="1"/>
  <c r="A8218" i="1"/>
  <c r="A8219" i="1"/>
  <c r="B8219" i="1"/>
  <c r="A8220" i="1"/>
  <c r="A8221" i="1"/>
  <c r="B8221" i="1"/>
  <c r="A8222" i="1"/>
  <c r="B8222" i="1"/>
  <c r="A8223" i="1"/>
  <c r="B8223" i="1"/>
  <c r="A8224" i="1"/>
  <c r="B8224" i="1"/>
  <c r="A8225" i="1"/>
  <c r="B8225" i="1"/>
  <c r="A8226" i="1"/>
  <c r="B8226" i="1"/>
  <c r="A8227" i="1"/>
  <c r="A8228" i="1"/>
  <c r="B8228" i="1"/>
  <c r="A8229" i="1"/>
  <c r="B8229" i="1"/>
  <c r="A8230" i="1"/>
  <c r="B8230" i="1"/>
  <c r="A8231" i="1"/>
  <c r="B8231" i="1"/>
  <c r="A8232" i="1"/>
  <c r="B8232" i="1"/>
  <c r="A8233" i="1"/>
  <c r="A8234" i="1"/>
  <c r="A8235" i="1"/>
  <c r="A8236" i="1"/>
  <c r="A8237" i="1"/>
  <c r="B8237" i="1"/>
  <c r="A8238" i="1"/>
  <c r="B8238" i="1"/>
  <c r="A8239" i="1"/>
  <c r="B8239" i="1"/>
  <c r="A8240" i="1"/>
  <c r="B8240" i="1"/>
  <c r="A8241" i="1"/>
  <c r="B8241" i="1"/>
  <c r="A8242" i="1"/>
  <c r="B8242" i="1"/>
  <c r="A8243" i="1"/>
  <c r="A8244" i="1"/>
  <c r="B8244" i="1"/>
  <c r="A8245" i="1"/>
  <c r="B8245" i="1"/>
  <c r="A8246" i="1"/>
  <c r="B8246" i="1"/>
  <c r="A8247" i="1"/>
  <c r="B8247" i="1"/>
  <c r="A8248" i="1"/>
  <c r="B8248" i="1"/>
  <c r="A8249" i="1"/>
  <c r="B8249" i="1"/>
  <c r="A8250" i="1"/>
  <c r="B8250" i="1"/>
  <c r="A8251" i="1"/>
  <c r="A8252" i="1"/>
  <c r="B8252" i="1"/>
  <c r="A8253" i="1"/>
  <c r="A8254" i="1"/>
  <c r="B8254" i="1"/>
  <c r="A8255" i="1"/>
  <c r="B8255" i="1"/>
  <c r="A8256" i="1"/>
  <c r="B8256" i="1"/>
  <c r="A8257" i="1"/>
  <c r="B8257" i="1"/>
  <c r="A8258" i="1"/>
  <c r="B8258" i="1"/>
  <c r="A8259" i="1"/>
  <c r="B8259" i="1"/>
  <c r="A8260" i="1"/>
  <c r="A8261" i="1"/>
  <c r="B8261" i="1"/>
  <c r="A8262" i="1"/>
  <c r="A8263" i="1"/>
  <c r="A8264" i="1"/>
  <c r="A8265" i="1"/>
  <c r="A8266" i="1"/>
  <c r="A8267" i="1"/>
  <c r="B8267" i="1"/>
  <c r="A8268" i="1"/>
  <c r="B8268" i="1"/>
  <c r="A8269" i="1"/>
  <c r="B8269" i="1"/>
  <c r="A8270" i="1"/>
  <c r="B8270" i="1"/>
  <c r="A8271" i="1"/>
  <c r="B8271" i="1"/>
  <c r="A8272" i="1"/>
  <c r="B8272" i="1"/>
  <c r="A8273" i="1"/>
  <c r="B8273" i="1"/>
  <c r="A8274" i="1"/>
  <c r="A8275" i="1"/>
  <c r="B8275" i="1"/>
  <c r="A8276" i="1"/>
  <c r="B8276" i="1"/>
  <c r="A8277" i="1"/>
  <c r="B8277" i="1"/>
  <c r="A8278" i="1"/>
  <c r="B8278" i="1"/>
  <c r="A8279" i="1"/>
  <c r="B8279" i="1"/>
  <c r="A8280" i="1"/>
  <c r="B8280" i="1"/>
  <c r="A8281" i="1"/>
  <c r="A8282" i="1"/>
  <c r="B8282" i="1"/>
  <c r="A8283" i="1"/>
  <c r="B8283" i="1"/>
  <c r="A8284" i="1"/>
  <c r="B8284" i="1"/>
  <c r="A8285" i="1"/>
  <c r="B8285" i="1"/>
  <c r="A8286" i="1"/>
  <c r="B8286" i="1"/>
  <c r="A8287" i="1"/>
  <c r="B8287" i="1"/>
  <c r="A8288" i="1"/>
  <c r="B8288" i="1"/>
  <c r="A8289" i="1"/>
  <c r="B8289" i="1"/>
  <c r="A8290" i="1"/>
  <c r="B8290" i="1"/>
  <c r="A8291" i="1"/>
  <c r="B8291" i="1"/>
  <c r="A8292" i="1"/>
  <c r="B8292" i="1"/>
  <c r="A8293" i="1"/>
  <c r="B8293" i="1"/>
  <c r="A8294" i="1"/>
  <c r="B8294" i="1"/>
  <c r="A8295" i="1"/>
  <c r="B8295" i="1"/>
  <c r="A8296" i="1"/>
  <c r="A8297" i="1"/>
  <c r="B8297" i="1"/>
  <c r="A8298" i="1"/>
  <c r="B8298" i="1"/>
  <c r="A8299" i="1"/>
  <c r="B8299" i="1"/>
  <c r="A8300" i="1"/>
  <c r="B8300" i="1"/>
  <c r="A8301" i="1"/>
  <c r="B8301" i="1"/>
  <c r="A8302" i="1"/>
  <c r="A8303" i="1"/>
  <c r="B8303" i="1"/>
  <c r="A8304" i="1"/>
  <c r="B8304" i="1"/>
  <c r="A8305" i="1"/>
  <c r="B8305" i="1"/>
  <c r="A8306" i="1"/>
  <c r="B8306" i="1"/>
  <c r="A8307" i="1"/>
  <c r="B8307" i="1"/>
  <c r="A8308" i="1"/>
  <c r="B8308" i="1"/>
  <c r="A8309" i="1"/>
  <c r="B8309" i="1"/>
  <c r="A8310" i="1"/>
  <c r="B8310" i="1"/>
  <c r="A8311" i="1"/>
  <c r="B8311" i="1"/>
  <c r="A8312" i="1"/>
  <c r="B8312" i="1"/>
  <c r="A8313" i="1"/>
  <c r="B8313" i="1"/>
  <c r="A8314" i="1"/>
  <c r="B8314" i="1"/>
  <c r="A8315" i="1"/>
  <c r="B8315" i="1"/>
  <c r="A8316" i="1"/>
  <c r="B8316" i="1"/>
  <c r="A8317" i="1"/>
  <c r="B8317" i="1"/>
  <c r="A8318" i="1"/>
  <c r="A8319" i="1"/>
  <c r="B8319" i="1"/>
  <c r="A8320" i="1"/>
  <c r="B8320" i="1"/>
  <c r="A8321" i="1"/>
  <c r="B8321" i="1"/>
  <c r="A8322" i="1"/>
  <c r="B8322" i="1"/>
  <c r="A8323" i="1"/>
  <c r="B8323" i="1"/>
  <c r="A8324" i="1"/>
  <c r="B8324" i="1"/>
  <c r="A8325" i="1"/>
  <c r="B8325" i="1"/>
  <c r="A8326" i="1"/>
  <c r="B8326" i="1"/>
  <c r="A8327" i="1"/>
  <c r="B8327" i="1"/>
  <c r="A8328" i="1"/>
  <c r="B8328" i="1"/>
  <c r="A8329" i="1"/>
  <c r="B8329" i="1"/>
  <c r="A8330" i="1"/>
  <c r="B8330" i="1"/>
  <c r="A8331" i="1"/>
  <c r="A8332" i="1"/>
  <c r="A8333" i="1"/>
  <c r="B8333" i="1"/>
  <c r="A8334" i="1"/>
  <c r="B8334" i="1"/>
  <c r="A8335" i="1"/>
  <c r="B8335" i="1"/>
  <c r="A8336" i="1"/>
  <c r="B8336" i="1"/>
  <c r="A8337" i="1"/>
  <c r="B8337" i="1"/>
  <c r="A8338" i="1"/>
  <c r="B8338" i="1"/>
  <c r="A8339" i="1"/>
  <c r="B8339" i="1"/>
  <c r="A8340" i="1"/>
  <c r="B8340" i="1"/>
  <c r="A8341" i="1"/>
  <c r="A8342" i="1"/>
  <c r="A8343" i="1"/>
  <c r="A8344" i="1"/>
  <c r="A8345" i="1"/>
  <c r="B8345" i="1"/>
  <c r="A8346" i="1"/>
  <c r="B8346" i="1"/>
  <c r="A8347" i="1"/>
  <c r="B8347" i="1"/>
  <c r="A8348" i="1"/>
  <c r="B8348" i="1"/>
  <c r="A8349" i="1"/>
  <c r="B8349" i="1"/>
  <c r="A8350" i="1"/>
  <c r="B8350" i="1"/>
  <c r="A8351" i="1"/>
  <c r="B8351" i="1"/>
  <c r="A8352" i="1"/>
  <c r="A8353" i="1"/>
  <c r="B8353" i="1"/>
  <c r="A8354" i="1"/>
  <c r="B8354" i="1"/>
  <c r="A8355" i="1"/>
  <c r="B8355" i="1"/>
  <c r="A8356" i="1"/>
  <c r="B8356" i="1"/>
  <c r="A8357" i="1"/>
  <c r="B8357" i="1"/>
  <c r="A8358" i="1"/>
  <c r="B8358" i="1"/>
  <c r="A8359" i="1"/>
  <c r="B8359" i="1"/>
  <c r="A8360" i="1"/>
  <c r="B8360" i="1"/>
  <c r="A8361" i="1"/>
  <c r="B8361" i="1"/>
  <c r="A8362" i="1"/>
  <c r="B8362" i="1"/>
  <c r="A8363" i="1"/>
  <c r="B8363" i="1"/>
  <c r="A8364" i="1"/>
  <c r="B8364" i="1"/>
  <c r="A8365" i="1"/>
  <c r="B8365" i="1"/>
  <c r="A8366" i="1"/>
  <c r="B8366" i="1"/>
  <c r="A8367" i="1"/>
  <c r="B8367" i="1"/>
  <c r="A8368" i="1"/>
  <c r="B8368" i="1"/>
  <c r="A8369" i="1"/>
  <c r="B8369" i="1"/>
  <c r="A8370" i="1"/>
  <c r="B8370" i="1"/>
  <c r="A8371" i="1"/>
  <c r="B8371" i="1"/>
  <c r="A8372" i="1"/>
  <c r="B8372" i="1"/>
  <c r="A8373" i="1"/>
  <c r="B8373" i="1"/>
  <c r="A8374" i="1"/>
  <c r="B8374" i="1"/>
  <c r="A8375" i="1"/>
  <c r="B8375" i="1"/>
  <c r="A8376" i="1"/>
  <c r="B8376" i="1"/>
  <c r="A8377" i="1"/>
  <c r="B8377" i="1"/>
  <c r="A8378" i="1"/>
  <c r="A8379" i="1"/>
  <c r="B8379" i="1"/>
  <c r="A8380" i="1"/>
  <c r="B8380" i="1"/>
  <c r="A8381" i="1"/>
  <c r="B8381" i="1"/>
  <c r="A8382" i="1"/>
  <c r="B8382" i="1"/>
  <c r="A8383" i="1"/>
  <c r="B8383" i="1"/>
  <c r="A8384" i="1"/>
  <c r="B8384" i="1"/>
  <c r="A8385" i="1"/>
  <c r="B8385" i="1"/>
  <c r="A8386" i="1"/>
  <c r="B8386" i="1"/>
  <c r="A8387" i="1"/>
  <c r="A8388" i="1"/>
  <c r="A8389" i="1"/>
  <c r="B8389" i="1"/>
  <c r="A8390" i="1"/>
  <c r="B8390" i="1"/>
  <c r="A8391" i="1"/>
  <c r="B8391" i="1"/>
  <c r="A8392" i="1"/>
  <c r="A8393" i="1"/>
  <c r="B8393" i="1"/>
  <c r="A8394" i="1"/>
  <c r="B8394" i="1"/>
  <c r="A8395" i="1"/>
  <c r="B8395" i="1"/>
  <c r="A8396" i="1"/>
  <c r="B8396" i="1"/>
  <c r="A8397" i="1"/>
  <c r="B8397" i="1"/>
  <c r="A8398" i="1"/>
  <c r="B8398" i="1"/>
  <c r="A8399" i="1"/>
  <c r="B8399" i="1"/>
  <c r="A8400" i="1"/>
  <c r="B8400" i="1"/>
  <c r="A8401" i="1"/>
  <c r="B8401" i="1"/>
  <c r="A8402" i="1"/>
  <c r="B8402" i="1"/>
  <c r="A8403" i="1"/>
  <c r="B8403" i="1"/>
  <c r="A8404" i="1"/>
  <c r="B8404" i="1"/>
  <c r="A8405" i="1"/>
  <c r="B8405" i="1"/>
  <c r="A8406" i="1"/>
  <c r="B8406" i="1"/>
  <c r="A8407" i="1"/>
  <c r="B8407" i="1"/>
  <c r="A8408" i="1"/>
  <c r="B8408" i="1"/>
  <c r="A8409" i="1"/>
  <c r="B8409" i="1"/>
  <c r="A8410" i="1"/>
  <c r="B8410" i="1"/>
  <c r="A8411" i="1"/>
  <c r="B8411" i="1"/>
  <c r="A8412" i="1"/>
  <c r="A8413" i="1"/>
  <c r="B8413" i="1"/>
  <c r="A8414" i="1"/>
  <c r="B8414" i="1"/>
  <c r="A8415" i="1"/>
  <c r="B8415" i="1"/>
  <c r="A8416" i="1"/>
  <c r="B8416" i="1"/>
  <c r="A8417" i="1"/>
  <c r="A8418" i="1"/>
  <c r="B8418" i="1"/>
  <c r="A8419" i="1"/>
  <c r="B8419" i="1"/>
  <c r="A8420" i="1"/>
  <c r="B8420" i="1"/>
  <c r="A8421" i="1"/>
  <c r="B8421" i="1"/>
  <c r="A8422" i="1"/>
  <c r="B8422" i="1"/>
  <c r="A8423" i="1"/>
  <c r="B8423" i="1"/>
  <c r="A8424" i="1"/>
  <c r="B8424" i="1"/>
  <c r="A8425" i="1"/>
  <c r="B8425" i="1"/>
  <c r="A8426" i="1"/>
  <c r="B8426" i="1"/>
  <c r="A8427" i="1"/>
  <c r="B8427" i="1"/>
  <c r="A8428" i="1"/>
  <c r="B8428" i="1"/>
  <c r="A8429" i="1"/>
  <c r="B8429" i="1"/>
  <c r="A8430" i="1"/>
  <c r="B8430" i="1"/>
  <c r="A8431" i="1"/>
  <c r="B8431" i="1"/>
  <c r="A8432" i="1"/>
  <c r="B8432" i="1"/>
  <c r="A8433" i="1"/>
  <c r="B8433" i="1"/>
  <c r="A8434" i="1"/>
  <c r="B8434" i="1"/>
  <c r="A8435" i="1"/>
  <c r="B8435" i="1"/>
  <c r="A8436" i="1"/>
  <c r="B8436" i="1"/>
  <c r="A8437" i="1"/>
  <c r="B8437" i="1"/>
  <c r="A8438" i="1"/>
  <c r="B8438" i="1"/>
  <c r="A8439" i="1"/>
  <c r="B8439" i="1"/>
  <c r="A8440" i="1"/>
  <c r="B8440" i="1"/>
  <c r="A8441" i="1"/>
  <c r="B8441" i="1"/>
  <c r="A8442" i="1"/>
  <c r="B8442" i="1"/>
  <c r="A8443" i="1"/>
  <c r="B8443" i="1"/>
  <c r="A8444" i="1"/>
  <c r="A8445" i="1"/>
  <c r="B8445" i="1"/>
  <c r="A8446" i="1"/>
  <c r="B8446" i="1"/>
  <c r="A8447" i="1"/>
  <c r="B8447" i="1"/>
  <c r="A8448" i="1"/>
  <c r="B8448" i="1"/>
  <c r="A8449" i="1"/>
  <c r="B8449" i="1"/>
  <c r="A8450" i="1"/>
  <c r="B8450" i="1"/>
  <c r="A8451" i="1"/>
  <c r="A8452" i="1"/>
  <c r="A8453" i="1"/>
  <c r="A8454" i="1"/>
  <c r="B8454" i="1"/>
  <c r="A8455" i="1"/>
  <c r="A8456" i="1"/>
  <c r="A8457" i="1"/>
  <c r="B8457" i="1"/>
  <c r="A8458" i="1"/>
  <c r="A8459" i="1"/>
  <c r="B8459" i="1"/>
  <c r="A8460" i="1"/>
  <c r="B8460" i="1"/>
  <c r="A8461" i="1"/>
  <c r="B8461" i="1"/>
  <c r="A8462" i="1"/>
  <c r="B8462" i="1"/>
  <c r="A8463" i="1"/>
  <c r="B8463" i="1"/>
  <c r="A8464" i="1"/>
  <c r="B8464" i="1"/>
  <c r="A8465" i="1"/>
  <c r="A8466" i="1"/>
  <c r="B8466" i="1"/>
  <c r="A8467" i="1"/>
  <c r="B8467" i="1"/>
  <c r="A8468" i="1"/>
  <c r="B8468" i="1"/>
  <c r="A8469" i="1"/>
  <c r="B8469" i="1"/>
  <c r="A8470" i="1"/>
  <c r="A8471" i="1"/>
  <c r="B8471" i="1"/>
  <c r="A8472" i="1"/>
  <c r="A8473" i="1"/>
  <c r="B8473" i="1"/>
  <c r="A8474" i="1"/>
  <c r="B8474" i="1"/>
  <c r="A8475" i="1"/>
  <c r="B8475" i="1"/>
  <c r="A8476" i="1"/>
  <c r="B8476" i="1"/>
  <c r="A8477" i="1"/>
  <c r="B8477" i="1"/>
  <c r="A8478" i="1"/>
  <c r="B8478" i="1"/>
  <c r="A8479" i="1"/>
  <c r="B8479" i="1"/>
  <c r="A8480" i="1"/>
  <c r="B8480" i="1"/>
  <c r="A8481" i="1"/>
  <c r="A8482" i="1"/>
  <c r="B8482" i="1"/>
  <c r="A8483" i="1"/>
  <c r="B8483" i="1"/>
  <c r="A8484" i="1"/>
  <c r="B8484" i="1"/>
  <c r="A8485" i="1"/>
  <c r="B8485" i="1"/>
  <c r="A8486" i="1"/>
  <c r="A8487" i="1"/>
  <c r="B8487" i="1"/>
  <c r="A8488" i="1"/>
  <c r="B8488" i="1"/>
  <c r="A8489" i="1"/>
  <c r="B8489" i="1"/>
  <c r="A8490" i="1"/>
  <c r="B8490" i="1"/>
  <c r="A8491" i="1"/>
  <c r="B8491" i="1"/>
  <c r="A8492" i="1"/>
  <c r="B8492" i="1"/>
  <c r="A8493" i="1"/>
  <c r="B8493" i="1"/>
  <c r="A8494" i="1"/>
  <c r="A8495" i="1"/>
  <c r="A8496" i="1"/>
  <c r="A8497" i="1"/>
  <c r="B8497" i="1"/>
  <c r="A8498" i="1"/>
  <c r="B8498" i="1"/>
  <c r="A8499" i="1"/>
  <c r="B8499" i="1"/>
  <c r="A8500" i="1"/>
  <c r="B8500" i="1"/>
  <c r="A8501" i="1"/>
  <c r="A8502" i="1"/>
  <c r="B8502" i="1"/>
  <c r="A8503" i="1"/>
  <c r="A8504" i="1"/>
  <c r="B8504" i="1"/>
  <c r="A8505" i="1"/>
  <c r="B8505" i="1"/>
  <c r="A8506" i="1"/>
  <c r="A8507" i="1"/>
  <c r="B8507" i="1"/>
  <c r="A8508" i="1"/>
  <c r="B8508" i="1"/>
  <c r="A8509" i="1"/>
  <c r="B8509" i="1"/>
  <c r="A8510" i="1"/>
  <c r="B8510" i="1"/>
  <c r="A8511" i="1"/>
  <c r="B8511" i="1"/>
  <c r="A8512" i="1"/>
  <c r="B8512" i="1"/>
  <c r="A8513" i="1"/>
  <c r="B8513" i="1"/>
  <c r="A8514" i="1"/>
  <c r="B8514" i="1"/>
  <c r="A8515" i="1"/>
  <c r="B8515" i="1"/>
  <c r="A8516" i="1"/>
  <c r="B8516" i="1"/>
  <c r="A8517" i="1"/>
  <c r="B8517" i="1"/>
  <c r="A8518" i="1"/>
  <c r="B8518" i="1"/>
  <c r="A8519" i="1"/>
  <c r="B8519" i="1"/>
  <c r="A8520" i="1"/>
  <c r="B8520" i="1"/>
  <c r="A8521" i="1"/>
  <c r="A8522" i="1"/>
  <c r="B8522" i="1"/>
  <c r="A8523" i="1"/>
  <c r="B8523" i="1"/>
  <c r="A8524" i="1"/>
  <c r="A8525" i="1"/>
  <c r="A8526" i="1"/>
  <c r="A8527" i="1"/>
  <c r="A8528" i="1"/>
  <c r="A8529" i="1"/>
  <c r="A8530" i="1"/>
  <c r="B8530" i="1"/>
  <c r="A8531" i="1"/>
  <c r="A8532" i="1"/>
  <c r="B8532" i="1"/>
  <c r="A8533" i="1"/>
  <c r="B8533" i="1"/>
  <c r="A8534" i="1"/>
  <c r="B8534" i="1"/>
  <c r="A8535" i="1"/>
  <c r="B8535" i="1"/>
  <c r="A8536" i="1"/>
  <c r="B8536" i="1"/>
  <c r="A8537" i="1"/>
  <c r="A8538" i="1"/>
  <c r="A8539" i="1"/>
  <c r="A8540" i="1"/>
  <c r="A8541" i="1"/>
  <c r="A8542" i="1"/>
  <c r="B8542" i="1"/>
  <c r="A8543" i="1"/>
  <c r="B8543" i="1"/>
  <c r="A8544" i="1"/>
  <c r="B8544" i="1"/>
  <c r="A8545" i="1"/>
  <c r="A8546" i="1"/>
  <c r="B8546" i="1"/>
  <c r="A8547" i="1"/>
  <c r="B8547" i="1"/>
  <c r="A8548" i="1"/>
  <c r="B8548" i="1"/>
  <c r="A8549" i="1"/>
  <c r="B8549" i="1"/>
  <c r="A8550" i="1"/>
  <c r="B8550" i="1"/>
  <c r="A8551" i="1"/>
  <c r="B8551" i="1"/>
  <c r="A8552" i="1"/>
  <c r="B8552" i="1"/>
  <c r="A8553" i="1"/>
  <c r="B8553" i="1"/>
  <c r="A8554" i="1"/>
  <c r="B8554" i="1"/>
  <c r="A8555" i="1"/>
  <c r="B8555" i="1"/>
  <c r="A8556" i="1"/>
  <c r="A8557" i="1"/>
  <c r="B8557" i="1"/>
  <c r="A8558" i="1"/>
  <c r="B8558" i="1"/>
  <c r="A8559" i="1"/>
  <c r="B8559" i="1"/>
  <c r="A8560" i="1"/>
  <c r="B8560" i="1"/>
  <c r="A8561" i="1"/>
  <c r="B8561" i="1"/>
  <c r="A8562" i="1"/>
  <c r="B8562" i="1"/>
  <c r="A8563" i="1"/>
  <c r="B8563" i="1"/>
  <c r="A8564" i="1"/>
  <c r="B8564" i="1"/>
  <c r="A8565" i="1"/>
  <c r="B8565" i="1"/>
  <c r="A8566" i="1"/>
  <c r="B8566" i="1"/>
  <c r="A8567" i="1"/>
  <c r="B8567" i="1"/>
  <c r="A8568" i="1"/>
  <c r="B8568" i="1"/>
  <c r="A8569" i="1"/>
  <c r="B8569" i="1"/>
  <c r="A8570" i="1"/>
  <c r="B8570" i="1"/>
  <c r="A8571" i="1"/>
  <c r="B8571" i="1"/>
  <c r="A8572" i="1"/>
  <c r="B8572" i="1"/>
  <c r="A8573" i="1"/>
  <c r="B8573" i="1"/>
  <c r="A8574" i="1"/>
  <c r="B8574" i="1"/>
  <c r="A8575" i="1"/>
  <c r="B8575" i="1"/>
  <c r="A8576" i="1"/>
  <c r="B8576" i="1"/>
  <c r="A8577" i="1"/>
  <c r="B8577" i="1"/>
  <c r="A8578" i="1"/>
  <c r="B8578" i="1"/>
  <c r="A8579" i="1"/>
  <c r="B8579" i="1"/>
  <c r="A8580" i="1"/>
  <c r="B8580" i="1"/>
  <c r="A8581" i="1"/>
  <c r="B8581" i="1"/>
  <c r="A8582" i="1"/>
  <c r="B8582" i="1"/>
  <c r="A8583" i="1"/>
  <c r="B8583" i="1"/>
  <c r="A8584" i="1"/>
  <c r="A8585" i="1"/>
  <c r="A8586" i="1"/>
  <c r="A8587" i="1"/>
  <c r="A8588" i="1"/>
  <c r="B8588" i="1"/>
  <c r="A8589" i="1"/>
  <c r="B8589" i="1"/>
  <c r="A8590" i="1"/>
  <c r="A8591" i="1"/>
  <c r="B8591" i="1"/>
  <c r="A8592" i="1"/>
  <c r="B8592" i="1"/>
  <c r="A8593" i="1"/>
  <c r="A8594" i="1"/>
  <c r="A8595" i="1"/>
  <c r="B8595" i="1"/>
  <c r="A8596" i="1"/>
  <c r="B8596" i="1"/>
  <c r="A8597" i="1"/>
  <c r="A8598" i="1"/>
  <c r="B8598" i="1"/>
  <c r="A8599" i="1"/>
  <c r="A8600" i="1"/>
  <c r="B8600" i="1"/>
  <c r="A8601" i="1"/>
  <c r="B8601" i="1"/>
  <c r="A8602" i="1"/>
  <c r="B8602" i="1"/>
  <c r="A8603" i="1"/>
  <c r="B8603" i="1"/>
  <c r="A8604" i="1"/>
  <c r="B8604" i="1"/>
  <c r="A8605" i="1"/>
  <c r="B8605" i="1"/>
  <c r="A8606" i="1"/>
  <c r="B8606" i="1"/>
  <c r="A8607" i="1"/>
  <c r="A8608" i="1"/>
  <c r="B8608" i="1"/>
  <c r="A8609" i="1"/>
  <c r="B8609" i="1"/>
  <c r="A8610" i="1"/>
  <c r="B8610" i="1"/>
  <c r="A8611" i="1"/>
  <c r="B8611" i="1"/>
  <c r="A8612" i="1"/>
  <c r="B8612" i="1"/>
  <c r="A8613" i="1"/>
  <c r="A8614" i="1"/>
  <c r="B8614" i="1"/>
  <c r="A8615" i="1"/>
  <c r="B8615" i="1"/>
  <c r="A8616" i="1"/>
  <c r="A8617" i="1"/>
  <c r="A8618" i="1"/>
  <c r="B8618" i="1"/>
  <c r="A8619" i="1"/>
  <c r="A8620" i="1"/>
  <c r="B8620" i="1"/>
  <c r="A8621" i="1"/>
  <c r="B8621" i="1"/>
  <c r="A8622" i="1"/>
  <c r="B8622" i="1"/>
  <c r="A8623" i="1"/>
  <c r="A8624" i="1"/>
  <c r="B8624" i="1"/>
  <c r="A8625" i="1"/>
  <c r="B8625" i="1"/>
  <c r="A8626" i="1"/>
  <c r="B8626" i="1"/>
  <c r="A8627" i="1"/>
  <c r="B8627" i="1"/>
  <c r="A8628" i="1"/>
  <c r="B8628" i="1"/>
  <c r="A8629" i="1"/>
  <c r="A8630" i="1"/>
  <c r="B8630" i="1"/>
  <c r="A8631" i="1"/>
  <c r="A8632" i="1"/>
  <c r="B8632" i="1"/>
  <c r="A8633" i="1"/>
  <c r="B8633" i="1"/>
  <c r="A8634" i="1"/>
  <c r="B8634" i="1"/>
  <c r="A8635" i="1"/>
  <c r="B8635" i="1"/>
  <c r="A8636" i="1"/>
  <c r="A8637" i="1"/>
  <c r="A8638" i="1"/>
  <c r="A8639" i="1"/>
  <c r="A8640" i="1"/>
  <c r="A8641" i="1"/>
  <c r="A8642" i="1"/>
  <c r="B8642" i="1"/>
  <c r="A8643" i="1"/>
  <c r="B8643" i="1"/>
  <c r="A8644" i="1"/>
  <c r="B8644" i="1"/>
  <c r="A8645" i="1"/>
  <c r="A8646" i="1"/>
  <c r="B8646" i="1"/>
  <c r="A8647" i="1"/>
  <c r="A8648" i="1"/>
  <c r="B8648" i="1"/>
  <c r="A8649" i="1"/>
  <c r="A8650" i="1"/>
  <c r="A8651" i="1"/>
  <c r="A8652" i="1"/>
  <c r="A8653" i="1"/>
  <c r="B8653" i="1"/>
  <c r="A8654" i="1"/>
  <c r="A8655" i="1"/>
  <c r="A8656" i="1"/>
  <c r="B8656" i="1"/>
  <c r="A8657" i="1"/>
  <c r="B8657" i="1"/>
  <c r="A8658" i="1"/>
  <c r="B8658" i="1"/>
  <c r="A8659" i="1"/>
  <c r="A8660" i="1"/>
  <c r="B8660" i="1"/>
  <c r="A8661" i="1"/>
  <c r="B8661" i="1"/>
  <c r="A8662" i="1"/>
  <c r="A8663" i="1"/>
  <c r="B8663" i="1"/>
  <c r="A8664" i="1"/>
  <c r="B8664" i="1"/>
  <c r="A8665" i="1"/>
  <c r="B8665" i="1"/>
  <c r="A8666" i="1"/>
  <c r="B8666" i="1"/>
  <c r="A8667" i="1"/>
  <c r="B8667" i="1"/>
  <c r="A8668" i="1"/>
  <c r="B8668" i="1"/>
  <c r="A8669" i="1"/>
  <c r="B8669" i="1"/>
  <c r="A8670" i="1"/>
  <c r="A8671" i="1"/>
  <c r="B8671" i="1"/>
  <c r="A8672" i="1"/>
  <c r="B8672" i="1"/>
  <c r="A8673" i="1"/>
  <c r="B8673" i="1"/>
  <c r="A8674" i="1"/>
  <c r="B8674" i="1"/>
  <c r="A8675" i="1"/>
  <c r="B8675" i="1"/>
  <c r="A8676" i="1"/>
  <c r="B8676" i="1"/>
  <c r="A8677" i="1"/>
  <c r="B8677" i="1"/>
  <c r="A8678" i="1"/>
  <c r="A8679" i="1"/>
  <c r="B8679" i="1"/>
  <c r="A8680" i="1"/>
  <c r="A8681" i="1"/>
  <c r="B8681" i="1"/>
  <c r="A8682" i="1"/>
  <c r="B8682" i="1"/>
  <c r="A8683" i="1"/>
  <c r="B8683" i="1"/>
  <c r="A8684" i="1"/>
  <c r="B8684" i="1"/>
  <c r="A8685" i="1"/>
  <c r="A8686" i="1"/>
  <c r="B8686" i="1"/>
  <c r="A8687" i="1"/>
  <c r="A8688" i="1"/>
  <c r="A8689" i="1"/>
  <c r="A8690" i="1"/>
  <c r="A8691" i="1"/>
  <c r="A8692" i="1"/>
  <c r="A8693" i="1"/>
  <c r="B8693" i="1"/>
  <c r="A8694" i="1"/>
  <c r="B8694" i="1"/>
  <c r="A8695" i="1"/>
  <c r="B8695" i="1"/>
  <c r="A8696" i="1"/>
  <c r="B8696" i="1"/>
  <c r="A8697" i="1"/>
  <c r="B8697" i="1"/>
  <c r="A8698" i="1"/>
  <c r="B8698" i="1"/>
  <c r="A8699" i="1"/>
  <c r="B8699" i="1"/>
  <c r="A8700" i="1"/>
  <c r="B8700" i="1"/>
  <c r="A8701" i="1"/>
  <c r="B8701" i="1"/>
  <c r="A8702" i="1"/>
  <c r="A8703" i="1"/>
  <c r="B8703" i="1"/>
  <c r="A8704" i="1"/>
  <c r="B8704" i="1"/>
  <c r="A8705" i="1"/>
  <c r="B8705" i="1"/>
  <c r="A8706" i="1"/>
  <c r="B8706" i="1"/>
  <c r="A8707" i="1"/>
  <c r="B8707" i="1"/>
  <c r="A8708" i="1"/>
  <c r="B8708" i="1"/>
  <c r="A8709" i="1"/>
  <c r="B8709" i="1"/>
  <c r="A8710" i="1"/>
  <c r="A8711" i="1"/>
  <c r="B8711" i="1"/>
  <c r="A8712" i="1"/>
  <c r="B8712" i="1"/>
  <c r="A8713" i="1"/>
  <c r="B8713" i="1"/>
  <c r="A8714" i="1"/>
  <c r="B8714" i="1"/>
  <c r="A8715" i="1"/>
  <c r="A8716" i="1"/>
  <c r="B8716" i="1"/>
  <c r="A8717" i="1"/>
  <c r="B8717" i="1"/>
  <c r="A8718" i="1"/>
  <c r="A8719" i="1"/>
  <c r="B8719" i="1"/>
  <c r="A8720" i="1"/>
  <c r="B8720" i="1"/>
  <c r="A8721" i="1"/>
  <c r="B8721" i="1"/>
  <c r="A8722" i="1"/>
  <c r="A8723" i="1"/>
  <c r="B8723" i="1"/>
  <c r="A8724" i="1"/>
  <c r="A8725" i="1"/>
  <c r="B8725" i="1"/>
  <c r="A8726" i="1"/>
  <c r="A8727" i="1"/>
  <c r="A8728" i="1"/>
  <c r="A8729" i="1"/>
  <c r="A8730" i="1"/>
  <c r="B8730" i="1"/>
  <c r="A8731" i="1"/>
  <c r="B8731" i="1"/>
  <c r="A8732" i="1"/>
  <c r="B8732" i="1"/>
  <c r="A8733" i="1"/>
  <c r="B8733" i="1"/>
  <c r="A8734" i="1"/>
  <c r="B8734" i="1"/>
  <c r="A8735" i="1"/>
  <c r="B8735" i="1"/>
  <c r="A8736" i="1"/>
  <c r="B8736" i="1"/>
  <c r="A8737" i="1"/>
  <c r="B8737" i="1"/>
  <c r="A8738" i="1"/>
  <c r="B8738" i="1"/>
  <c r="A8739" i="1"/>
  <c r="B8739" i="1"/>
  <c r="A8740" i="1"/>
  <c r="A8741" i="1"/>
  <c r="B8741" i="1"/>
  <c r="A8742" i="1"/>
  <c r="B8742" i="1"/>
  <c r="A8743" i="1"/>
  <c r="B8743" i="1"/>
  <c r="A8744" i="1"/>
  <c r="B8744" i="1"/>
  <c r="A8745" i="1"/>
  <c r="A8746" i="1"/>
  <c r="B8746" i="1"/>
  <c r="A8747" i="1"/>
  <c r="B8747" i="1"/>
  <c r="A8748" i="1"/>
  <c r="B8748" i="1"/>
  <c r="A8749" i="1"/>
  <c r="B8749" i="1"/>
  <c r="A8750" i="1"/>
  <c r="B8750" i="1"/>
  <c r="A8751" i="1"/>
  <c r="B8751" i="1"/>
  <c r="A8752" i="1"/>
  <c r="A8753" i="1"/>
  <c r="B8753" i="1"/>
  <c r="A8754" i="1"/>
  <c r="A8755" i="1"/>
  <c r="B8755" i="1"/>
  <c r="A8756" i="1"/>
  <c r="B8756" i="1"/>
  <c r="A8757" i="1"/>
  <c r="B8757" i="1"/>
  <c r="A8758" i="1"/>
  <c r="B8758" i="1"/>
  <c r="A8759" i="1"/>
  <c r="B8759" i="1"/>
  <c r="A8760" i="1"/>
  <c r="B8760" i="1"/>
  <c r="A8761" i="1"/>
  <c r="B8761" i="1"/>
  <c r="A8762" i="1"/>
  <c r="A8763" i="1"/>
  <c r="B8763" i="1"/>
  <c r="A8764" i="1"/>
  <c r="A8765" i="1"/>
  <c r="B8765" i="1"/>
  <c r="A8766" i="1"/>
  <c r="B8766" i="1"/>
  <c r="A8767" i="1"/>
  <c r="B8767" i="1"/>
  <c r="A8768" i="1"/>
  <c r="B8768" i="1"/>
  <c r="A8769" i="1"/>
  <c r="B8769" i="1"/>
  <c r="A8770" i="1"/>
  <c r="B8770" i="1"/>
  <c r="A8771" i="1"/>
  <c r="B8771" i="1"/>
  <c r="A8772" i="1"/>
  <c r="B8772" i="1"/>
  <c r="A8773" i="1"/>
  <c r="B8773" i="1"/>
  <c r="A8774" i="1"/>
  <c r="B8774" i="1"/>
  <c r="A8775" i="1"/>
  <c r="A8776" i="1"/>
  <c r="A8777" i="1"/>
  <c r="B8777" i="1"/>
  <c r="A8778" i="1"/>
  <c r="B8778" i="1"/>
  <c r="A8779" i="1"/>
  <c r="A8780" i="1"/>
  <c r="A8781" i="1"/>
  <c r="B8781" i="1"/>
  <c r="A8782" i="1"/>
  <c r="B8782" i="1"/>
  <c r="A8783" i="1"/>
  <c r="A8784" i="1"/>
  <c r="B8784" i="1"/>
  <c r="A8785" i="1"/>
  <c r="B8785" i="1"/>
  <c r="A8786" i="1"/>
  <c r="B8786" i="1"/>
  <c r="A8787" i="1"/>
  <c r="B8787" i="1"/>
  <c r="A8788" i="1"/>
  <c r="B8788" i="1"/>
  <c r="A8789" i="1"/>
  <c r="B8789" i="1"/>
  <c r="A8790" i="1"/>
  <c r="B8790" i="1"/>
  <c r="A8791" i="1"/>
  <c r="B8791" i="1"/>
  <c r="A8792" i="1"/>
  <c r="B8792" i="1"/>
  <c r="A8793" i="1"/>
  <c r="A8794" i="1"/>
  <c r="B8794" i="1"/>
  <c r="A8795" i="1"/>
  <c r="A8796" i="1"/>
  <c r="B8796" i="1"/>
  <c r="A8797" i="1"/>
  <c r="B8797" i="1"/>
  <c r="A8798" i="1"/>
  <c r="B8798" i="1"/>
  <c r="A8799" i="1"/>
  <c r="B8799" i="1"/>
  <c r="A8800" i="1"/>
  <c r="B8800" i="1"/>
  <c r="A8801" i="1"/>
  <c r="B8801" i="1"/>
  <c r="A8802" i="1"/>
  <c r="B8802" i="1"/>
  <c r="A8803" i="1"/>
  <c r="B8803" i="1"/>
  <c r="A8804" i="1"/>
  <c r="B8804" i="1"/>
  <c r="A8805" i="1"/>
  <c r="B8805" i="1"/>
  <c r="A8806" i="1"/>
  <c r="B8806" i="1"/>
  <c r="A8807" i="1"/>
  <c r="B8807" i="1"/>
  <c r="A8808" i="1"/>
  <c r="B8808" i="1"/>
  <c r="A8809" i="1"/>
  <c r="A8810" i="1"/>
  <c r="B8810" i="1"/>
  <c r="A8811" i="1"/>
  <c r="B8811" i="1"/>
  <c r="A8812" i="1"/>
  <c r="B8812" i="1"/>
  <c r="A8813" i="1"/>
  <c r="B8813" i="1"/>
  <c r="A8814" i="1"/>
  <c r="B8814" i="1"/>
  <c r="A8815" i="1"/>
  <c r="B8815" i="1"/>
  <c r="A8816" i="1"/>
  <c r="A8817" i="1"/>
  <c r="A8818" i="1"/>
  <c r="B8818" i="1"/>
  <c r="A8819" i="1"/>
  <c r="B8819" i="1"/>
  <c r="A8820" i="1"/>
  <c r="B8820" i="1"/>
  <c r="A8821" i="1"/>
  <c r="B8821" i="1"/>
  <c r="A8822" i="1"/>
  <c r="B8822" i="1"/>
  <c r="A8823" i="1"/>
  <c r="B8823" i="1"/>
  <c r="A8824" i="1"/>
  <c r="B8824" i="1"/>
  <c r="A8825" i="1"/>
  <c r="B8825" i="1"/>
  <c r="A8826" i="1"/>
  <c r="A8827" i="1"/>
  <c r="A8828" i="1"/>
  <c r="A8829" i="1"/>
  <c r="B8829" i="1"/>
  <c r="A8830" i="1"/>
  <c r="B8830" i="1"/>
  <c r="A8831" i="1"/>
  <c r="B8831" i="1"/>
  <c r="A8832" i="1"/>
  <c r="B8832" i="1"/>
  <c r="A8833" i="1"/>
  <c r="B8833" i="1"/>
  <c r="A8834" i="1"/>
  <c r="B8834" i="1"/>
  <c r="A8835" i="1"/>
  <c r="B8835" i="1"/>
  <c r="A8836" i="1"/>
  <c r="B8836" i="1"/>
  <c r="A8837" i="1"/>
  <c r="B8837" i="1"/>
  <c r="A8838" i="1"/>
  <c r="B8838" i="1"/>
  <c r="A8839" i="1"/>
  <c r="A8840" i="1"/>
  <c r="B8840" i="1"/>
  <c r="A8841" i="1"/>
  <c r="B8841" i="1"/>
  <c r="A8842" i="1"/>
  <c r="B8842" i="1"/>
  <c r="A8843" i="1"/>
  <c r="A8844" i="1"/>
  <c r="B8844" i="1"/>
  <c r="A8845" i="1"/>
  <c r="B8845" i="1"/>
  <c r="A8846" i="1"/>
  <c r="A8847" i="1"/>
  <c r="B8847" i="1"/>
  <c r="A8848" i="1"/>
  <c r="B8848" i="1"/>
  <c r="A8849" i="1"/>
  <c r="B8849" i="1"/>
  <c r="A8850" i="1"/>
  <c r="B8850" i="1"/>
  <c r="A8851" i="1"/>
  <c r="B8851" i="1"/>
  <c r="A8852" i="1"/>
  <c r="B8852" i="1"/>
  <c r="A8853" i="1"/>
  <c r="B8853" i="1"/>
  <c r="A8854" i="1"/>
  <c r="B8854" i="1"/>
  <c r="A8855" i="1"/>
  <c r="B8855" i="1"/>
  <c r="A8856" i="1"/>
  <c r="B8856" i="1"/>
  <c r="A8857" i="1"/>
  <c r="B8857" i="1"/>
  <c r="A8858" i="1"/>
  <c r="B8858" i="1"/>
  <c r="A8859" i="1"/>
  <c r="B8859" i="1"/>
  <c r="A8860" i="1"/>
  <c r="A8861" i="1"/>
  <c r="A8862" i="1"/>
  <c r="A8863" i="1"/>
  <c r="A8864" i="1"/>
  <c r="A8865" i="1"/>
  <c r="A8866" i="1"/>
  <c r="A8867" i="1"/>
  <c r="A8868" i="1"/>
  <c r="B8868" i="1"/>
  <c r="A8869" i="1"/>
  <c r="B8869" i="1"/>
  <c r="A8870" i="1"/>
  <c r="B8870" i="1"/>
  <c r="A8871" i="1"/>
  <c r="B8871" i="1"/>
  <c r="A8872" i="1"/>
  <c r="B8872" i="1"/>
  <c r="A8873" i="1"/>
  <c r="A8874" i="1"/>
  <c r="B8874" i="1"/>
  <c r="A8875" i="1"/>
  <c r="B8875" i="1"/>
  <c r="A8876" i="1"/>
  <c r="B8876" i="1"/>
  <c r="A8877" i="1"/>
  <c r="B8877" i="1"/>
  <c r="A8878" i="1"/>
  <c r="B8878" i="1"/>
  <c r="A8879" i="1"/>
  <c r="B8879" i="1"/>
  <c r="A8880" i="1"/>
  <c r="B8880" i="1"/>
  <c r="A8881" i="1"/>
  <c r="B8881" i="1"/>
  <c r="A8882" i="1"/>
  <c r="B8882" i="1"/>
  <c r="A8883" i="1"/>
  <c r="B8883" i="1"/>
  <c r="A8884" i="1"/>
  <c r="B8884" i="1"/>
  <c r="A8885" i="1"/>
  <c r="B8885" i="1"/>
  <c r="A8886" i="1"/>
  <c r="B8886" i="1"/>
  <c r="A8887" i="1"/>
  <c r="B8887" i="1"/>
  <c r="A8888" i="1"/>
  <c r="B8888" i="1"/>
  <c r="A8889" i="1"/>
  <c r="B8889" i="1"/>
  <c r="A8890" i="1"/>
  <c r="B8890" i="1"/>
  <c r="A8891" i="1"/>
  <c r="B8891" i="1"/>
  <c r="A8892" i="1"/>
  <c r="B8892" i="1"/>
  <c r="A8893" i="1"/>
  <c r="B8893" i="1"/>
  <c r="A8894" i="1"/>
  <c r="B8894" i="1"/>
  <c r="A8895" i="1"/>
  <c r="B8895" i="1"/>
  <c r="A8896" i="1"/>
  <c r="B8896" i="1"/>
  <c r="A8897" i="1"/>
  <c r="B8897" i="1"/>
  <c r="A8898" i="1"/>
  <c r="B8898" i="1"/>
  <c r="A8899" i="1"/>
  <c r="B8899" i="1"/>
  <c r="A8900" i="1"/>
  <c r="B8900" i="1"/>
  <c r="A8901" i="1"/>
  <c r="B8901" i="1"/>
  <c r="A8902" i="1"/>
  <c r="B8902" i="1"/>
  <c r="A8903" i="1"/>
  <c r="B8903" i="1"/>
  <c r="A8904" i="1"/>
  <c r="B8904" i="1"/>
  <c r="A8905" i="1"/>
  <c r="B8905" i="1"/>
  <c r="A8906" i="1"/>
  <c r="B8906" i="1"/>
  <c r="A8907" i="1"/>
  <c r="B8907" i="1"/>
  <c r="A8908" i="1"/>
  <c r="B8908" i="1"/>
  <c r="A8909" i="1"/>
  <c r="B8909" i="1"/>
  <c r="A8910" i="1"/>
  <c r="B8910" i="1"/>
  <c r="A8911" i="1"/>
  <c r="B8911" i="1"/>
  <c r="A8912" i="1"/>
  <c r="B8912" i="1"/>
  <c r="A8913" i="1"/>
  <c r="B8913" i="1"/>
  <c r="A8914" i="1"/>
  <c r="B8914" i="1"/>
  <c r="A8915" i="1"/>
  <c r="B8915" i="1"/>
  <c r="A8916" i="1"/>
  <c r="B8916" i="1"/>
  <c r="A8917" i="1"/>
  <c r="B8917" i="1"/>
  <c r="A8918" i="1"/>
  <c r="B8918" i="1"/>
  <c r="A8919" i="1"/>
  <c r="B8919" i="1"/>
  <c r="A8920" i="1"/>
  <c r="B8920" i="1"/>
  <c r="A8921" i="1"/>
  <c r="B8921" i="1"/>
  <c r="A8922" i="1"/>
  <c r="B8922" i="1"/>
  <c r="A8923" i="1"/>
  <c r="A8924" i="1"/>
  <c r="B8924" i="1"/>
  <c r="A8925" i="1"/>
  <c r="B8925" i="1"/>
  <c r="A8926" i="1"/>
  <c r="B8926" i="1"/>
  <c r="A8927" i="1"/>
  <c r="B8927" i="1"/>
  <c r="A8928" i="1"/>
  <c r="B8928" i="1"/>
  <c r="A8929" i="1"/>
  <c r="B8929" i="1"/>
  <c r="A8930" i="1"/>
  <c r="B8930" i="1"/>
  <c r="A8931" i="1"/>
  <c r="B8931" i="1"/>
  <c r="A8932" i="1"/>
  <c r="B8932" i="1"/>
  <c r="A8933" i="1"/>
  <c r="B8933" i="1"/>
  <c r="A8934" i="1"/>
  <c r="B8934" i="1"/>
  <c r="A8935" i="1"/>
  <c r="B8935" i="1"/>
  <c r="A8936" i="1"/>
  <c r="B8936" i="1"/>
  <c r="A8937" i="1"/>
  <c r="B8937" i="1"/>
  <c r="A8938" i="1"/>
  <c r="B8938" i="1"/>
  <c r="A8939" i="1"/>
  <c r="B8939" i="1"/>
  <c r="A8940" i="1"/>
  <c r="B8940" i="1"/>
  <c r="A8941" i="1"/>
  <c r="A8942" i="1"/>
  <c r="B8942" i="1"/>
  <c r="A8943" i="1"/>
  <c r="B8943" i="1"/>
  <c r="A8944" i="1"/>
  <c r="B8944" i="1"/>
  <c r="A8945" i="1"/>
  <c r="B8945" i="1"/>
  <c r="A8946" i="1"/>
  <c r="B8946" i="1"/>
  <c r="A8947" i="1"/>
  <c r="B8947" i="1"/>
  <c r="A8948" i="1"/>
  <c r="B8948" i="1"/>
  <c r="A8949" i="1"/>
  <c r="A8950" i="1"/>
  <c r="B8950" i="1"/>
  <c r="A8951" i="1"/>
  <c r="B8951" i="1"/>
  <c r="A8952" i="1"/>
  <c r="B8952" i="1"/>
  <c r="A8953" i="1"/>
  <c r="B8953" i="1"/>
  <c r="A8954" i="1"/>
  <c r="B8954" i="1"/>
  <c r="A8955" i="1"/>
  <c r="B8955" i="1"/>
  <c r="A8956" i="1"/>
  <c r="B8956" i="1"/>
  <c r="A8957" i="1"/>
  <c r="B8957" i="1"/>
  <c r="A8958" i="1"/>
  <c r="B8958" i="1"/>
  <c r="A8959" i="1"/>
  <c r="B8959" i="1"/>
  <c r="A8960" i="1"/>
  <c r="B8960" i="1"/>
  <c r="A8961" i="1"/>
  <c r="B8961" i="1"/>
  <c r="A8962" i="1"/>
  <c r="B8962" i="1"/>
  <c r="A8963" i="1"/>
  <c r="A8964" i="1"/>
  <c r="B8964" i="1"/>
  <c r="A8965" i="1"/>
  <c r="A8966" i="1"/>
  <c r="B8966" i="1"/>
  <c r="A8967" i="1"/>
  <c r="B8967" i="1"/>
  <c r="A8968" i="1"/>
  <c r="B8968" i="1"/>
  <c r="A8969" i="1"/>
  <c r="B8969" i="1"/>
  <c r="A8970" i="1"/>
  <c r="B8970" i="1"/>
  <c r="A8971" i="1"/>
  <c r="B8971" i="1"/>
  <c r="A8972" i="1"/>
  <c r="B8972" i="1"/>
  <c r="A8973" i="1"/>
  <c r="B8973" i="1"/>
  <c r="A8974" i="1"/>
  <c r="B8974" i="1"/>
  <c r="A8975" i="1"/>
  <c r="B8975" i="1"/>
  <c r="A8976" i="1"/>
  <c r="B8976" i="1"/>
  <c r="A8977" i="1"/>
  <c r="A8978" i="1"/>
  <c r="A8979" i="1"/>
  <c r="B8979" i="1"/>
  <c r="A8980" i="1"/>
  <c r="B8980" i="1"/>
  <c r="A8981" i="1"/>
  <c r="A8982" i="1"/>
  <c r="B8982" i="1"/>
  <c r="A8983" i="1"/>
  <c r="B8983" i="1"/>
  <c r="A8984" i="1"/>
  <c r="B8984" i="1"/>
  <c r="A8985" i="1"/>
  <c r="A8986" i="1"/>
  <c r="B8986" i="1"/>
  <c r="A8987" i="1"/>
  <c r="B8987" i="1"/>
  <c r="A8988" i="1"/>
  <c r="B8988" i="1"/>
  <c r="A8989" i="1"/>
  <c r="B8989" i="1"/>
  <c r="A8990" i="1"/>
  <c r="B8990" i="1"/>
  <c r="A8991" i="1"/>
  <c r="B8991" i="1"/>
  <c r="A8992" i="1"/>
  <c r="B8992" i="1"/>
  <c r="A8993" i="1"/>
  <c r="A8994" i="1"/>
  <c r="A8995" i="1"/>
  <c r="B8995" i="1"/>
  <c r="A8996" i="1"/>
  <c r="A8997" i="1"/>
  <c r="B8997" i="1"/>
  <c r="A8998" i="1"/>
  <c r="B8998" i="1"/>
  <c r="A8999" i="1"/>
  <c r="B8999" i="1"/>
  <c r="A9000" i="1"/>
  <c r="B9000" i="1"/>
  <c r="A9001" i="1"/>
  <c r="B9001" i="1"/>
  <c r="A9002" i="1"/>
  <c r="B9002" i="1"/>
  <c r="A9003" i="1"/>
  <c r="B9003" i="1"/>
  <c r="A9004" i="1"/>
  <c r="B9004" i="1"/>
  <c r="A9005" i="1"/>
  <c r="B9005" i="1"/>
  <c r="A9006" i="1"/>
  <c r="A9007" i="1"/>
  <c r="B9007" i="1"/>
  <c r="A9008" i="1"/>
  <c r="A9009" i="1"/>
  <c r="B9009" i="1"/>
  <c r="A9010" i="1"/>
  <c r="B9010" i="1"/>
  <c r="A9011" i="1"/>
  <c r="B9011" i="1"/>
  <c r="A9012" i="1"/>
  <c r="A9013" i="1"/>
  <c r="B9013" i="1"/>
  <c r="A9014" i="1"/>
  <c r="B9014" i="1"/>
  <c r="A9015" i="1"/>
  <c r="A9016" i="1"/>
  <c r="B9016" i="1"/>
  <c r="A9017" i="1"/>
  <c r="B9017" i="1"/>
  <c r="A9018" i="1"/>
  <c r="A9019" i="1"/>
  <c r="B9019" i="1"/>
  <c r="A9020" i="1"/>
  <c r="B9020" i="1"/>
  <c r="A9021" i="1"/>
  <c r="B9021" i="1"/>
  <c r="A9022" i="1"/>
  <c r="B9022" i="1"/>
  <c r="A9023" i="1"/>
  <c r="A9024" i="1"/>
  <c r="B9024" i="1"/>
  <c r="A9025" i="1"/>
  <c r="B9025" i="1"/>
  <c r="A9026" i="1"/>
  <c r="A9027" i="1"/>
  <c r="A9028" i="1"/>
  <c r="B9028" i="1"/>
  <c r="A9029" i="1"/>
  <c r="B9029" i="1"/>
  <c r="A9030" i="1"/>
  <c r="A9031" i="1"/>
  <c r="B9031" i="1"/>
  <c r="A9032" i="1"/>
  <c r="A9033" i="1"/>
  <c r="A9034" i="1"/>
  <c r="A9035" i="1"/>
  <c r="B9035" i="1"/>
  <c r="A9036" i="1"/>
  <c r="B9036" i="1"/>
  <c r="A9037" i="1"/>
  <c r="B9037" i="1"/>
  <c r="A9038" i="1"/>
  <c r="A9039" i="1"/>
  <c r="A9040" i="1"/>
  <c r="B9040" i="1"/>
  <c r="A9041" i="1"/>
  <c r="B9041" i="1"/>
  <c r="A9042" i="1"/>
  <c r="B9042" i="1"/>
  <c r="A9043" i="1"/>
  <c r="B9043" i="1"/>
  <c r="A9044" i="1"/>
  <c r="B9044" i="1"/>
  <c r="A9045" i="1"/>
  <c r="B9045" i="1"/>
  <c r="A9046" i="1"/>
  <c r="B9046" i="1"/>
  <c r="A9047" i="1"/>
  <c r="B9047" i="1"/>
  <c r="A9048" i="1"/>
  <c r="B9048" i="1"/>
  <c r="A9049" i="1"/>
  <c r="B9049" i="1"/>
  <c r="A9050" i="1"/>
  <c r="B9050" i="1"/>
  <c r="A9051" i="1"/>
  <c r="B9051" i="1"/>
  <c r="A9052" i="1"/>
  <c r="B9052" i="1"/>
  <c r="A9053" i="1"/>
  <c r="B9053" i="1"/>
  <c r="A9054" i="1"/>
  <c r="A9055" i="1"/>
  <c r="B9055" i="1"/>
  <c r="A9056" i="1"/>
  <c r="B9056" i="1"/>
  <c r="A9057" i="1"/>
  <c r="B9057" i="1"/>
  <c r="A9058" i="1"/>
  <c r="A9059" i="1"/>
  <c r="B9059" i="1"/>
  <c r="A9060" i="1"/>
  <c r="B9060" i="1"/>
  <c r="A9061" i="1"/>
  <c r="B9061" i="1"/>
  <c r="A9062" i="1"/>
  <c r="B9062" i="1"/>
  <c r="A9063" i="1"/>
  <c r="B9063" i="1"/>
  <c r="A9064" i="1"/>
  <c r="B9064" i="1"/>
  <c r="A9065" i="1"/>
  <c r="A9066" i="1"/>
  <c r="A9067" i="1"/>
  <c r="B9067" i="1"/>
  <c r="A9068" i="1"/>
  <c r="A9069" i="1"/>
  <c r="A9070" i="1"/>
  <c r="A9071" i="1"/>
  <c r="B9071" i="1"/>
  <c r="A9072" i="1"/>
  <c r="B9072" i="1"/>
  <c r="A9073" i="1"/>
  <c r="A9074" i="1"/>
  <c r="A9075" i="1"/>
  <c r="A9076" i="1"/>
  <c r="B9076" i="1"/>
  <c r="A9077" i="1"/>
  <c r="A9078" i="1"/>
  <c r="A9079" i="1"/>
  <c r="B9079" i="1"/>
  <c r="A9080" i="1"/>
  <c r="B9080" i="1"/>
  <c r="A9081" i="1"/>
  <c r="A9082" i="1"/>
  <c r="A9083" i="1"/>
  <c r="B9083" i="1"/>
  <c r="A9084" i="1"/>
  <c r="B9084" i="1"/>
  <c r="A9085" i="1"/>
  <c r="B9085" i="1"/>
  <c r="A9086" i="1"/>
  <c r="B9086" i="1"/>
  <c r="A9087" i="1"/>
  <c r="B9087" i="1"/>
  <c r="A9088" i="1"/>
  <c r="B9088" i="1"/>
  <c r="A9089" i="1"/>
  <c r="A9090" i="1"/>
  <c r="A9091" i="1"/>
  <c r="B9091" i="1"/>
  <c r="A9092" i="1"/>
  <c r="A9093" i="1"/>
  <c r="A9094" i="1"/>
  <c r="A9095" i="1"/>
  <c r="B9095" i="1"/>
  <c r="A9096" i="1"/>
  <c r="B9096" i="1"/>
  <c r="A9097" i="1"/>
  <c r="A9098" i="1"/>
  <c r="A9099" i="1"/>
  <c r="B9099" i="1"/>
  <c r="A9100" i="1"/>
  <c r="B9100" i="1"/>
  <c r="A9101" i="1"/>
  <c r="A9102" i="1"/>
  <c r="A9103" i="1"/>
  <c r="B9103" i="1"/>
  <c r="A9104" i="1"/>
  <c r="B9104" i="1"/>
  <c r="A9105" i="1"/>
  <c r="A9106" i="1"/>
  <c r="B9106" i="1"/>
  <c r="A9107" i="1"/>
  <c r="B9107" i="1"/>
  <c r="A9108" i="1"/>
  <c r="B9108" i="1"/>
  <c r="A9109" i="1"/>
  <c r="B9109" i="1"/>
  <c r="A9110" i="1"/>
  <c r="A9111" i="1"/>
  <c r="B9111" i="1"/>
  <c r="A9112" i="1"/>
  <c r="B9112" i="1"/>
  <c r="A9113" i="1"/>
  <c r="A9114" i="1"/>
  <c r="B9114" i="1"/>
  <c r="A9115" i="1"/>
  <c r="B9115" i="1"/>
  <c r="A9116" i="1"/>
  <c r="B9116" i="1"/>
  <c r="A9117" i="1"/>
  <c r="B9117" i="1"/>
  <c r="A9118" i="1"/>
  <c r="B9118" i="1"/>
  <c r="A9119" i="1"/>
  <c r="B9119" i="1"/>
  <c r="A9120" i="1"/>
  <c r="B9120" i="1"/>
  <c r="A9121" i="1"/>
  <c r="B9121" i="1"/>
  <c r="A9122" i="1"/>
  <c r="B9122" i="1"/>
  <c r="A9123" i="1"/>
  <c r="B9123" i="1"/>
  <c r="A9124" i="1"/>
  <c r="B9124" i="1"/>
  <c r="A9125" i="1"/>
  <c r="B9125" i="1"/>
  <c r="A9126" i="1"/>
  <c r="B9126" i="1"/>
  <c r="A9127" i="1"/>
  <c r="A9128" i="1"/>
  <c r="B9128" i="1"/>
  <c r="A9129" i="1"/>
  <c r="B9129" i="1"/>
  <c r="A9130" i="1"/>
  <c r="B9130" i="1"/>
  <c r="A9131" i="1"/>
  <c r="A9132" i="1"/>
  <c r="A9133" i="1"/>
  <c r="A9134" i="1"/>
  <c r="B9134" i="1"/>
  <c r="A9135" i="1"/>
  <c r="B9135" i="1"/>
  <c r="A9136" i="1"/>
  <c r="B9136" i="1"/>
  <c r="A9137" i="1"/>
  <c r="B9137" i="1"/>
  <c r="A9138" i="1"/>
  <c r="B9138" i="1"/>
  <c r="A9139" i="1"/>
  <c r="B9139" i="1"/>
  <c r="A9140" i="1"/>
  <c r="B9140" i="1"/>
  <c r="A9141" i="1"/>
  <c r="B9141" i="1"/>
  <c r="A9142" i="1"/>
  <c r="A9143" i="1"/>
  <c r="B9143" i="1"/>
  <c r="A9144" i="1"/>
  <c r="A9145" i="1"/>
  <c r="B9145" i="1"/>
  <c r="A9146" i="1"/>
  <c r="B9146" i="1"/>
  <c r="A9147" i="1"/>
  <c r="B9147" i="1"/>
  <c r="A9148" i="1"/>
  <c r="B9148" i="1"/>
  <c r="A9149" i="1"/>
  <c r="B9149" i="1"/>
  <c r="A9150" i="1"/>
  <c r="B9150" i="1"/>
  <c r="A9151" i="1"/>
  <c r="B9151" i="1"/>
  <c r="A9152" i="1"/>
  <c r="B9152" i="1"/>
  <c r="A9153" i="1"/>
  <c r="B9153" i="1"/>
  <c r="A9154" i="1"/>
  <c r="B9154" i="1"/>
  <c r="A9155" i="1"/>
  <c r="B9155" i="1"/>
  <c r="A9156" i="1"/>
  <c r="A9157" i="1"/>
  <c r="A9158" i="1"/>
  <c r="B9158" i="1"/>
  <c r="A9159" i="1"/>
  <c r="B9159" i="1"/>
  <c r="A9160" i="1"/>
  <c r="A9161" i="1"/>
  <c r="B9161" i="1"/>
  <c r="A9162" i="1"/>
  <c r="B9162" i="1"/>
  <c r="A9163" i="1"/>
  <c r="B9163" i="1"/>
  <c r="A9164" i="1"/>
  <c r="B9164" i="1"/>
  <c r="A9165" i="1"/>
  <c r="B9165" i="1"/>
  <c r="A9166" i="1"/>
  <c r="B9166" i="1"/>
  <c r="A9167" i="1"/>
  <c r="B9167" i="1"/>
  <c r="A9168" i="1"/>
  <c r="B9168" i="1"/>
  <c r="A9169" i="1"/>
  <c r="B9169" i="1"/>
  <c r="A9170" i="1"/>
  <c r="B9170" i="1"/>
  <c r="A9171" i="1"/>
  <c r="B9171" i="1"/>
  <c r="A9172" i="1"/>
  <c r="B9172" i="1"/>
  <c r="A9173" i="1"/>
  <c r="B9173" i="1"/>
  <c r="A9174" i="1"/>
  <c r="A9175" i="1"/>
  <c r="A9176" i="1"/>
  <c r="A9177" i="1"/>
  <c r="A9178" i="1"/>
  <c r="A9179" i="1"/>
  <c r="A9180" i="1"/>
  <c r="A9181" i="1"/>
  <c r="A9182" i="1"/>
  <c r="A9183" i="1"/>
  <c r="A9184" i="1"/>
  <c r="B9184" i="1"/>
  <c r="A9185" i="1"/>
  <c r="A9186" i="1"/>
  <c r="A9187" i="1"/>
  <c r="B9187" i="1"/>
  <c r="A9188" i="1"/>
  <c r="B9188" i="1"/>
  <c r="A9189" i="1"/>
  <c r="B9189" i="1"/>
  <c r="A9190" i="1"/>
  <c r="B9190" i="1"/>
  <c r="A9191" i="1"/>
  <c r="B9191" i="1"/>
  <c r="A9192" i="1"/>
  <c r="B9192" i="1"/>
  <c r="A9193" i="1"/>
  <c r="B9193" i="1"/>
  <c r="A9194" i="1"/>
  <c r="B9194" i="1"/>
  <c r="A9195" i="1"/>
  <c r="B9195" i="1"/>
  <c r="A9196" i="1"/>
  <c r="A9197" i="1"/>
  <c r="B9197" i="1"/>
  <c r="A9198" i="1"/>
  <c r="A9199" i="1"/>
  <c r="B9199" i="1"/>
  <c r="A9200" i="1"/>
  <c r="B9200" i="1"/>
  <c r="A9201" i="1"/>
  <c r="B9201" i="1"/>
  <c r="A9202" i="1"/>
  <c r="B9202" i="1"/>
  <c r="A9203" i="1"/>
  <c r="B9203" i="1"/>
  <c r="A9204" i="1"/>
  <c r="B9204" i="1"/>
  <c r="A9205" i="1"/>
  <c r="B9205" i="1"/>
  <c r="A9206" i="1"/>
  <c r="B9206" i="1"/>
  <c r="A9207" i="1"/>
  <c r="B9207" i="1"/>
  <c r="A9208" i="1"/>
  <c r="B9208" i="1"/>
  <c r="A9209" i="1"/>
  <c r="B9209" i="1"/>
  <c r="A9210" i="1"/>
  <c r="B9210" i="1"/>
  <c r="A9211" i="1"/>
  <c r="B9211" i="1"/>
  <c r="A9212" i="1"/>
  <c r="B9212" i="1"/>
  <c r="A9213" i="1"/>
  <c r="A9214" i="1"/>
  <c r="B9214" i="1"/>
  <c r="A9215" i="1"/>
  <c r="B9215" i="1"/>
  <c r="A9216" i="1"/>
  <c r="B9216" i="1"/>
  <c r="A9217" i="1"/>
  <c r="B9217" i="1"/>
  <c r="A9218" i="1"/>
  <c r="B9218" i="1"/>
  <c r="A9219" i="1"/>
  <c r="B9219" i="1"/>
  <c r="A9220" i="1"/>
  <c r="B9220" i="1"/>
  <c r="A9221" i="1"/>
  <c r="B9221" i="1"/>
  <c r="A9222" i="1"/>
  <c r="B9222" i="1"/>
  <c r="A9223" i="1"/>
  <c r="B9223" i="1"/>
  <c r="A9224" i="1"/>
  <c r="B9224" i="1"/>
  <c r="A9225" i="1"/>
  <c r="A9226" i="1"/>
  <c r="B9226" i="1"/>
  <c r="A9227" i="1"/>
  <c r="B9227" i="1"/>
  <c r="A9228" i="1"/>
  <c r="B9228" i="1"/>
  <c r="A9229" i="1"/>
  <c r="B9229" i="1"/>
  <c r="A9230" i="1"/>
  <c r="A9231" i="1"/>
  <c r="B9231" i="1"/>
  <c r="A9232" i="1"/>
  <c r="B9232" i="1"/>
  <c r="A9233" i="1"/>
  <c r="A9234" i="1"/>
  <c r="B9234" i="1"/>
  <c r="A9235" i="1"/>
  <c r="B9235" i="1"/>
  <c r="A9236" i="1"/>
  <c r="B9236" i="1"/>
  <c r="A9237" i="1"/>
  <c r="A9238" i="1"/>
  <c r="B9238" i="1"/>
  <c r="A9239" i="1"/>
  <c r="A9240" i="1"/>
  <c r="B9240" i="1"/>
  <c r="A9241" i="1"/>
  <c r="B9241" i="1"/>
  <c r="A9242" i="1"/>
  <c r="B9242" i="1"/>
  <c r="A9243" i="1"/>
  <c r="B9243" i="1"/>
  <c r="A9244" i="1"/>
  <c r="B9244" i="1"/>
  <c r="A9245" i="1"/>
  <c r="B9245" i="1"/>
  <c r="A9246" i="1"/>
  <c r="A9247" i="1"/>
  <c r="B9247" i="1"/>
  <c r="A9248" i="1"/>
  <c r="B9248" i="1"/>
  <c r="A9249" i="1"/>
  <c r="B9249" i="1"/>
  <c r="A9250" i="1"/>
  <c r="B9250" i="1"/>
  <c r="A9251" i="1"/>
  <c r="B9251" i="1"/>
  <c r="A9252" i="1"/>
  <c r="B9252" i="1"/>
  <c r="A9253" i="1"/>
  <c r="B9253" i="1"/>
  <c r="A9254" i="1"/>
  <c r="B9254" i="1"/>
  <c r="A9255" i="1"/>
  <c r="B9255" i="1"/>
  <c r="A9256" i="1"/>
  <c r="B9256" i="1"/>
  <c r="A9257" i="1"/>
  <c r="B9257" i="1"/>
  <c r="A9258" i="1"/>
  <c r="B9258" i="1"/>
  <c r="A9259" i="1"/>
  <c r="A9260" i="1"/>
  <c r="A9261" i="1"/>
  <c r="B9261" i="1"/>
  <c r="A9262" i="1"/>
  <c r="B9262" i="1"/>
  <c r="A9263" i="1"/>
  <c r="B9263" i="1"/>
  <c r="A9264" i="1"/>
  <c r="B9264" i="1"/>
  <c r="A9265" i="1"/>
  <c r="B9265" i="1"/>
  <c r="A9266" i="1"/>
  <c r="B9266" i="1"/>
  <c r="A9267" i="1"/>
  <c r="A9268" i="1"/>
  <c r="A9269" i="1"/>
  <c r="A9270" i="1"/>
  <c r="A9271" i="1"/>
  <c r="A9272" i="1"/>
  <c r="A9273" i="1"/>
  <c r="B9273" i="1"/>
  <c r="A9274" i="1"/>
  <c r="B9274" i="1"/>
  <c r="A9275" i="1"/>
  <c r="B9275" i="1"/>
  <c r="A9276" i="1"/>
  <c r="B9276" i="1"/>
  <c r="A9277" i="1"/>
  <c r="B9277" i="1"/>
  <c r="A9278" i="1"/>
  <c r="B9278" i="1"/>
  <c r="A9279" i="1"/>
  <c r="B9279" i="1"/>
  <c r="A9280" i="1"/>
  <c r="B9280" i="1"/>
  <c r="A9281" i="1"/>
  <c r="B9281" i="1"/>
  <c r="A9282" i="1"/>
  <c r="B9282" i="1"/>
  <c r="A9283" i="1"/>
  <c r="B9283" i="1"/>
  <c r="A9284" i="1"/>
  <c r="B9284" i="1"/>
  <c r="A9285" i="1"/>
  <c r="B9285" i="1"/>
  <c r="A9286" i="1"/>
  <c r="A9287" i="1"/>
  <c r="B9287" i="1"/>
  <c r="A9288" i="1"/>
  <c r="B9288" i="1"/>
  <c r="A9289" i="1"/>
  <c r="B9289" i="1"/>
  <c r="A9290" i="1"/>
  <c r="B9290" i="1"/>
  <c r="A9291" i="1"/>
  <c r="B9291" i="1"/>
  <c r="A9292" i="1"/>
  <c r="B9292" i="1"/>
  <c r="A9293" i="1"/>
  <c r="B9293" i="1"/>
  <c r="A9294" i="1"/>
  <c r="B9294" i="1"/>
  <c r="A9295" i="1"/>
  <c r="B9295" i="1"/>
  <c r="A9296" i="1"/>
  <c r="A9297" i="1"/>
  <c r="B9297" i="1"/>
  <c r="A9298" i="1"/>
  <c r="B9298" i="1"/>
  <c r="A9299" i="1"/>
  <c r="B9299" i="1"/>
  <c r="A9300" i="1"/>
  <c r="B9300" i="1"/>
  <c r="A9301" i="1"/>
  <c r="B9301" i="1"/>
  <c r="A9302" i="1"/>
  <c r="B9302" i="1"/>
  <c r="A9303" i="1"/>
  <c r="B9303" i="1"/>
  <c r="A9304" i="1"/>
  <c r="A9305" i="1"/>
  <c r="B9305" i="1"/>
  <c r="A9306" i="1"/>
  <c r="B9306" i="1"/>
  <c r="A9307" i="1"/>
  <c r="B9307" i="1"/>
  <c r="A9308" i="1"/>
  <c r="B9308" i="1"/>
  <c r="A9309" i="1"/>
  <c r="B9309" i="1"/>
  <c r="A9310" i="1"/>
  <c r="B9310" i="1"/>
  <c r="A9311" i="1"/>
  <c r="B9311" i="1"/>
  <c r="A9312" i="1"/>
  <c r="B9312" i="1"/>
  <c r="A9313" i="1"/>
  <c r="B9313" i="1"/>
  <c r="A9314" i="1"/>
  <c r="A9315" i="1"/>
  <c r="A9316" i="1"/>
  <c r="B9316" i="1"/>
  <c r="A9317" i="1"/>
  <c r="B9317" i="1"/>
  <c r="A9318" i="1"/>
  <c r="A9319" i="1"/>
  <c r="B9319" i="1"/>
  <c r="A9320" i="1"/>
  <c r="A9321" i="1"/>
  <c r="A9322" i="1"/>
  <c r="B9322" i="1"/>
  <c r="A9323" i="1"/>
  <c r="B9323" i="1"/>
  <c r="A9324" i="1"/>
  <c r="B9324" i="1"/>
  <c r="A9325" i="1"/>
  <c r="B9325" i="1"/>
  <c r="A9326" i="1"/>
  <c r="B9326" i="1"/>
  <c r="A9327" i="1"/>
  <c r="B9327" i="1"/>
  <c r="A9328" i="1"/>
  <c r="B9328" i="1"/>
  <c r="A9329" i="1"/>
  <c r="B9329" i="1"/>
  <c r="A9330" i="1"/>
  <c r="B9330" i="1"/>
  <c r="A9331" i="1"/>
  <c r="B9331" i="1"/>
  <c r="A9332" i="1"/>
  <c r="A9333" i="1"/>
  <c r="B9333" i="1"/>
  <c r="A9334" i="1"/>
  <c r="A9335" i="1"/>
  <c r="A9336" i="1"/>
  <c r="A9337" i="1"/>
  <c r="A9338" i="1"/>
  <c r="A9339" i="1"/>
  <c r="B9339" i="1"/>
  <c r="A9340" i="1"/>
  <c r="B9340" i="1"/>
  <c r="A9341" i="1"/>
  <c r="B9341" i="1"/>
  <c r="A9342" i="1"/>
  <c r="B9342" i="1"/>
  <c r="A9343" i="1"/>
  <c r="B9343" i="1"/>
  <c r="A9344" i="1"/>
  <c r="B9344" i="1"/>
  <c r="A9345" i="1"/>
  <c r="B9345" i="1"/>
  <c r="A9346" i="1"/>
  <c r="B9346" i="1"/>
  <c r="A9347" i="1"/>
  <c r="B9347" i="1"/>
  <c r="A9348" i="1"/>
  <c r="B9348" i="1"/>
  <c r="A9349" i="1"/>
  <c r="B9349" i="1"/>
  <c r="A9350" i="1"/>
  <c r="B9350" i="1"/>
  <c r="A9351" i="1"/>
  <c r="B9351" i="1"/>
  <c r="A9352" i="1"/>
  <c r="B9352" i="1"/>
  <c r="A9353" i="1"/>
  <c r="B9353" i="1"/>
  <c r="A9354" i="1"/>
  <c r="B9354" i="1"/>
  <c r="A9355" i="1"/>
  <c r="B9355" i="1"/>
  <c r="A9356" i="1"/>
  <c r="B9356" i="1"/>
  <c r="A9357" i="1"/>
  <c r="A9358" i="1"/>
  <c r="B9358" i="1"/>
  <c r="A9359" i="1"/>
  <c r="B9359" i="1"/>
  <c r="A9360" i="1"/>
  <c r="A9361" i="1"/>
  <c r="A9362" i="1"/>
  <c r="A9363" i="1"/>
  <c r="B9363" i="1"/>
  <c r="A9364" i="1"/>
  <c r="A9365" i="1"/>
  <c r="B9365" i="1"/>
  <c r="A9366" i="1"/>
  <c r="B9366" i="1"/>
  <c r="A9367" i="1"/>
  <c r="B9367" i="1"/>
  <c r="A9368" i="1"/>
  <c r="B9368" i="1"/>
  <c r="A9369" i="1"/>
  <c r="B9369" i="1"/>
  <c r="A9370" i="1"/>
  <c r="B9370" i="1"/>
  <c r="A9371" i="1"/>
  <c r="B9371" i="1"/>
  <c r="A9372" i="1"/>
  <c r="A9373" i="1"/>
  <c r="A9374" i="1"/>
  <c r="A9375" i="1"/>
  <c r="B9375" i="1"/>
  <c r="A9376" i="1"/>
  <c r="B9376" i="1"/>
  <c r="A9377" i="1"/>
  <c r="B9377" i="1"/>
  <c r="A9378" i="1"/>
  <c r="B9378" i="1"/>
  <c r="A9379" i="1"/>
  <c r="B9379" i="1"/>
  <c r="A9380" i="1"/>
  <c r="B9380" i="1"/>
  <c r="A9381" i="1"/>
  <c r="B9381" i="1"/>
  <c r="A9382" i="1"/>
  <c r="B9382" i="1"/>
  <c r="A9383" i="1"/>
  <c r="B9383" i="1"/>
  <c r="A9384" i="1"/>
  <c r="A9385" i="1"/>
  <c r="B9385" i="1"/>
  <c r="A9386" i="1"/>
  <c r="B9386" i="1"/>
  <c r="A9387" i="1"/>
  <c r="B9387" i="1"/>
  <c r="A9388" i="1"/>
  <c r="B9388" i="1"/>
  <c r="A9389" i="1"/>
  <c r="B9389" i="1"/>
  <c r="A9390" i="1"/>
  <c r="B9390" i="1"/>
  <c r="A9391" i="1"/>
  <c r="B9391" i="1"/>
  <c r="A9392" i="1"/>
  <c r="A9393" i="1"/>
  <c r="B9393" i="1"/>
  <c r="A9394" i="1"/>
  <c r="B9394" i="1"/>
  <c r="A9395" i="1"/>
  <c r="A9396" i="1"/>
  <c r="B9396" i="1"/>
  <c r="A9397" i="1"/>
  <c r="B9397" i="1"/>
  <c r="A9398" i="1"/>
  <c r="B9398" i="1"/>
  <c r="A9399" i="1"/>
  <c r="B9399" i="1"/>
  <c r="A9400" i="1"/>
  <c r="B9400" i="1"/>
  <c r="A9401" i="1"/>
  <c r="B9401" i="1"/>
  <c r="A9402" i="1"/>
  <c r="B9402" i="1"/>
  <c r="A9403" i="1"/>
  <c r="A9404" i="1"/>
  <c r="A9405" i="1"/>
  <c r="A9406" i="1"/>
  <c r="A9407" i="1"/>
  <c r="B9407" i="1"/>
  <c r="A9408" i="1"/>
  <c r="B9408" i="1"/>
  <c r="A9409" i="1"/>
  <c r="B9409" i="1"/>
  <c r="A9410" i="1"/>
  <c r="B9410" i="1"/>
  <c r="A9411" i="1"/>
  <c r="B9411" i="1"/>
  <c r="A9412" i="1"/>
  <c r="B9412" i="1"/>
  <c r="A9413" i="1"/>
  <c r="B9413" i="1"/>
  <c r="A9414" i="1"/>
  <c r="B9414" i="1"/>
  <c r="A9415" i="1"/>
  <c r="A9416" i="1"/>
  <c r="B9416" i="1"/>
  <c r="A9417" i="1"/>
  <c r="B9417" i="1"/>
  <c r="A9418" i="1"/>
  <c r="B9418" i="1"/>
  <c r="A9419" i="1"/>
  <c r="A9420" i="1"/>
  <c r="B9420" i="1"/>
  <c r="A9421" i="1"/>
  <c r="A9422" i="1"/>
  <c r="B9422" i="1"/>
  <c r="A9423" i="1"/>
  <c r="A9424" i="1"/>
  <c r="A9425" i="1"/>
  <c r="B9425" i="1"/>
  <c r="A9426" i="1"/>
  <c r="B9426" i="1"/>
  <c r="A9427" i="1"/>
  <c r="A9428" i="1"/>
  <c r="B9428" i="1"/>
  <c r="A9429" i="1"/>
  <c r="B9429" i="1"/>
  <c r="A9430" i="1"/>
  <c r="B9430" i="1"/>
  <c r="A9431" i="1"/>
  <c r="B9431" i="1"/>
  <c r="A9432" i="1"/>
  <c r="B9432" i="1"/>
  <c r="A9433" i="1"/>
  <c r="A9434" i="1"/>
  <c r="A9435" i="1"/>
  <c r="B9435" i="1"/>
  <c r="A9436" i="1"/>
  <c r="B9436" i="1"/>
  <c r="A9437" i="1"/>
  <c r="A9438" i="1"/>
  <c r="B9438" i="1"/>
  <c r="A9439" i="1"/>
  <c r="B9439" i="1"/>
  <c r="A9440" i="1"/>
  <c r="B9440" i="1"/>
  <c r="A9441" i="1"/>
  <c r="B9441" i="1"/>
  <c r="A9442" i="1"/>
  <c r="B9442" i="1"/>
  <c r="A9443" i="1"/>
  <c r="B9443" i="1"/>
  <c r="A9444" i="1"/>
  <c r="B9444" i="1"/>
  <c r="A9445" i="1"/>
  <c r="B9445" i="1"/>
  <c r="A9446" i="1"/>
  <c r="B9446" i="1"/>
  <c r="A9447" i="1"/>
  <c r="B9447" i="1"/>
  <c r="A9448" i="1"/>
  <c r="B9448" i="1"/>
  <c r="A9449" i="1"/>
  <c r="B9449" i="1"/>
  <c r="A9450" i="1"/>
  <c r="B9450" i="1"/>
  <c r="A9451" i="1"/>
  <c r="B9451" i="1"/>
  <c r="A9452" i="1"/>
  <c r="B9452" i="1"/>
  <c r="A9453" i="1"/>
  <c r="B9453" i="1"/>
  <c r="A9454" i="1"/>
  <c r="B9454" i="1"/>
  <c r="A9455" i="1"/>
  <c r="A9456" i="1"/>
  <c r="B9456" i="1"/>
  <c r="A9457" i="1"/>
  <c r="A9458" i="1"/>
  <c r="B9458" i="1"/>
  <c r="A9459" i="1"/>
  <c r="B9459" i="1"/>
  <c r="A9460" i="1"/>
  <c r="A9461" i="1"/>
  <c r="A9462" i="1"/>
  <c r="A9463" i="1"/>
  <c r="A9464" i="1"/>
  <c r="B9464" i="1"/>
  <c r="A9465" i="1"/>
  <c r="A9466" i="1"/>
  <c r="A9467" i="1"/>
  <c r="B9467" i="1"/>
  <c r="A9468" i="1"/>
  <c r="B9468" i="1"/>
  <c r="A9469" i="1"/>
  <c r="A9470" i="1"/>
  <c r="B9470" i="1"/>
  <c r="A9471" i="1"/>
  <c r="A9472" i="1"/>
  <c r="A9473" i="1"/>
  <c r="A9474" i="1"/>
  <c r="A9475" i="1"/>
  <c r="A9476" i="1"/>
  <c r="A9477" i="1"/>
  <c r="B9477" i="1"/>
  <c r="A9478" i="1"/>
  <c r="B9478" i="1"/>
  <c r="A9479" i="1"/>
  <c r="B9479" i="1"/>
  <c r="A9480" i="1"/>
  <c r="A9481" i="1"/>
  <c r="A9482" i="1"/>
  <c r="B9482" i="1"/>
  <c r="A9483" i="1"/>
  <c r="B9483" i="1"/>
  <c r="A9484" i="1"/>
  <c r="B9484" i="1"/>
  <c r="A9485" i="1"/>
  <c r="A9486" i="1"/>
  <c r="B9486" i="1"/>
  <c r="A9487" i="1"/>
  <c r="B9487" i="1"/>
  <c r="A9488" i="1"/>
  <c r="A9489" i="1"/>
  <c r="B9489" i="1"/>
  <c r="A9490" i="1"/>
  <c r="B9490" i="1"/>
  <c r="A9491" i="1"/>
  <c r="B9491" i="1"/>
  <c r="A9492" i="1"/>
  <c r="B9492" i="1"/>
  <c r="A9493" i="1"/>
  <c r="A9494" i="1"/>
  <c r="B9494" i="1"/>
  <c r="A9495" i="1"/>
  <c r="B9495" i="1"/>
  <c r="A9496" i="1"/>
  <c r="B9496" i="1"/>
  <c r="A9497" i="1"/>
  <c r="B9497" i="1"/>
  <c r="A9498" i="1"/>
  <c r="B9498" i="1"/>
  <c r="A9499" i="1"/>
  <c r="B9499" i="1"/>
  <c r="A9500" i="1"/>
  <c r="A9501" i="1"/>
  <c r="A9502" i="1"/>
  <c r="B9502" i="1"/>
  <c r="A9503" i="1"/>
  <c r="B9503" i="1"/>
  <c r="A9504" i="1"/>
  <c r="A9505" i="1"/>
  <c r="B9505" i="1"/>
  <c r="A9506" i="1"/>
  <c r="B9506" i="1"/>
  <c r="A9507" i="1"/>
  <c r="B9507" i="1"/>
  <c r="A9508" i="1"/>
  <c r="B9508" i="1"/>
  <c r="A9509" i="1"/>
  <c r="B9509" i="1"/>
  <c r="A9510" i="1"/>
  <c r="B9510" i="1"/>
  <c r="A9511" i="1"/>
  <c r="B9511" i="1"/>
  <c r="A9512" i="1"/>
  <c r="B9512" i="1"/>
  <c r="A9513" i="1"/>
  <c r="B9513" i="1"/>
  <c r="A9514" i="1"/>
  <c r="B9514" i="1"/>
  <c r="A9515" i="1"/>
  <c r="B9515" i="1"/>
  <c r="A9516" i="1"/>
  <c r="B9516" i="1"/>
  <c r="A9517" i="1"/>
  <c r="B9517" i="1"/>
  <c r="A9518" i="1"/>
  <c r="B9518" i="1"/>
  <c r="A9519" i="1"/>
  <c r="B9519" i="1"/>
  <c r="A9520" i="1"/>
  <c r="A9521" i="1"/>
  <c r="B9521" i="1"/>
  <c r="A9522" i="1"/>
  <c r="B9522" i="1"/>
  <c r="A9523" i="1"/>
  <c r="B9523" i="1"/>
  <c r="A9524" i="1"/>
  <c r="A9525" i="1"/>
  <c r="A9526" i="1"/>
  <c r="A9527" i="1"/>
  <c r="B9527" i="1"/>
  <c r="A9528" i="1"/>
  <c r="A9529" i="1"/>
  <c r="B9529" i="1"/>
  <c r="A9530" i="1"/>
  <c r="B9530" i="1"/>
  <c r="A9531" i="1"/>
  <c r="B9531" i="1"/>
  <c r="A9532" i="1"/>
  <c r="B9532" i="1"/>
  <c r="A9533" i="1"/>
  <c r="B9533" i="1"/>
  <c r="A9534" i="1"/>
  <c r="B9534" i="1"/>
  <c r="A9535" i="1"/>
  <c r="B9535" i="1"/>
  <c r="A9536" i="1"/>
  <c r="A9537" i="1"/>
  <c r="A9538" i="1"/>
  <c r="B9538" i="1"/>
  <c r="A9539" i="1"/>
  <c r="B9539" i="1"/>
  <c r="A9540" i="1"/>
  <c r="B9540" i="1"/>
  <c r="A9541" i="1"/>
  <c r="B9541" i="1"/>
  <c r="A9542" i="1"/>
  <c r="A9543" i="1"/>
  <c r="B9543" i="1"/>
  <c r="A9544" i="1"/>
  <c r="B9544" i="1"/>
  <c r="A9545" i="1"/>
  <c r="B9545" i="1"/>
  <c r="A9546" i="1"/>
  <c r="B9546" i="1"/>
  <c r="A9547" i="1"/>
  <c r="B9547" i="1"/>
  <c r="A9548" i="1"/>
  <c r="B9548" i="1"/>
  <c r="A9549" i="1"/>
  <c r="B9549" i="1"/>
  <c r="A9550" i="1"/>
  <c r="B9550" i="1"/>
  <c r="A9551" i="1"/>
  <c r="B9551" i="1"/>
  <c r="A9552" i="1"/>
  <c r="B9552" i="1"/>
  <c r="A9553" i="1"/>
  <c r="B9553" i="1"/>
  <c r="A9554" i="1"/>
  <c r="A9555" i="1"/>
  <c r="A9556" i="1"/>
  <c r="B9556" i="1"/>
  <c r="A9557" i="1"/>
  <c r="B9557" i="1"/>
  <c r="A9558" i="1"/>
  <c r="B9558" i="1"/>
  <c r="A9559" i="1"/>
  <c r="B9559" i="1"/>
  <c r="A9560" i="1"/>
  <c r="A9561" i="1"/>
  <c r="B9561" i="1"/>
  <c r="A9562" i="1"/>
  <c r="B9562" i="1"/>
  <c r="A9563" i="1"/>
  <c r="B9563" i="1"/>
  <c r="A9564" i="1"/>
  <c r="A9565" i="1"/>
  <c r="B9565" i="1"/>
  <c r="A9566" i="1"/>
  <c r="B9566" i="1"/>
  <c r="A9567" i="1"/>
  <c r="B9567" i="1"/>
  <c r="A9568" i="1"/>
  <c r="A9569" i="1"/>
  <c r="A9570" i="1"/>
  <c r="B9570" i="1"/>
  <c r="A9571" i="1"/>
  <c r="B9571" i="1"/>
  <c r="A9572" i="1"/>
  <c r="B9572" i="1"/>
  <c r="A9573" i="1"/>
  <c r="B9573" i="1"/>
  <c r="A9574" i="1"/>
  <c r="B9574" i="1"/>
  <c r="A9575" i="1"/>
  <c r="A9576" i="1"/>
  <c r="A9577" i="1"/>
  <c r="B9577" i="1"/>
  <c r="A9578" i="1"/>
  <c r="A9579" i="1"/>
  <c r="A9580" i="1"/>
  <c r="A9581" i="1"/>
  <c r="A9582" i="1"/>
  <c r="A9583" i="1"/>
  <c r="B9583" i="1"/>
  <c r="A9584" i="1"/>
  <c r="B9584" i="1"/>
  <c r="A9585" i="1"/>
  <c r="B9585" i="1"/>
  <c r="A9586" i="1"/>
  <c r="A9587" i="1"/>
  <c r="A9588" i="1"/>
  <c r="A9589" i="1"/>
  <c r="A9590" i="1"/>
  <c r="B9590" i="1"/>
  <c r="A9591" i="1"/>
  <c r="B9591" i="1"/>
  <c r="A9592" i="1"/>
  <c r="B9592" i="1"/>
  <c r="A9593" i="1"/>
  <c r="B9593" i="1"/>
  <c r="A9594" i="1"/>
  <c r="B9594" i="1"/>
  <c r="A9595" i="1"/>
  <c r="B9595" i="1"/>
  <c r="A9596" i="1"/>
  <c r="B9596" i="1"/>
  <c r="A9597" i="1"/>
  <c r="B9597" i="1"/>
  <c r="A9598" i="1"/>
  <c r="A9599" i="1"/>
  <c r="A9600" i="1"/>
  <c r="B9600" i="1"/>
  <c r="A9601" i="1"/>
  <c r="B9601" i="1"/>
  <c r="A9602" i="1"/>
  <c r="B9602" i="1"/>
  <c r="A9603" i="1"/>
  <c r="B9603" i="1"/>
  <c r="A9604" i="1"/>
  <c r="B9604" i="1"/>
  <c r="A9605" i="1"/>
  <c r="B9605" i="1"/>
  <c r="A9606" i="1"/>
  <c r="B9606" i="1"/>
  <c r="A9607" i="1"/>
  <c r="B9607" i="1"/>
  <c r="A9608" i="1"/>
  <c r="A9609" i="1"/>
  <c r="A9610" i="1"/>
  <c r="B9610" i="1"/>
  <c r="A9611" i="1"/>
  <c r="B9611" i="1"/>
  <c r="A9612" i="1"/>
  <c r="A9613" i="1"/>
  <c r="A9614" i="1"/>
  <c r="B9614" i="1"/>
  <c r="A9615" i="1"/>
  <c r="B9615" i="1"/>
  <c r="A9616" i="1"/>
  <c r="A9617" i="1"/>
  <c r="A9618" i="1"/>
  <c r="A9619" i="1"/>
  <c r="A9620" i="1"/>
  <c r="B9620" i="1"/>
  <c r="A9621" i="1"/>
  <c r="B9621" i="1"/>
  <c r="A9622" i="1"/>
  <c r="B9622" i="1"/>
  <c r="A9623" i="1"/>
  <c r="B9623" i="1"/>
  <c r="A9624" i="1"/>
  <c r="B9624" i="1"/>
  <c r="A9625" i="1"/>
  <c r="B9625" i="1"/>
  <c r="A9626" i="1"/>
  <c r="B9626" i="1"/>
  <c r="A9627" i="1"/>
  <c r="A9628" i="1"/>
  <c r="A9629" i="1"/>
  <c r="B9629" i="1"/>
  <c r="A9630" i="1"/>
  <c r="A9631" i="1"/>
  <c r="A9632" i="1"/>
  <c r="B9632" i="1"/>
  <c r="A9633" i="1"/>
  <c r="B9633" i="1"/>
  <c r="A9634" i="1"/>
  <c r="B9634" i="1"/>
  <c r="A9635" i="1"/>
  <c r="B9635" i="1"/>
  <c r="A9636" i="1"/>
  <c r="B9636" i="1"/>
  <c r="A9637" i="1"/>
  <c r="B9637" i="1"/>
  <c r="A9638" i="1"/>
  <c r="A9639" i="1"/>
  <c r="B9639" i="1"/>
  <c r="A9640" i="1"/>
  <c r="B9640" i="1"/>
  <c r="A9641" i="1"/>
  <c r="B9641" i="1"/>
  <c r="A9642" i="1"/>
  <c r="B9642" i="1"/>
  <c r="A9643" i="1"/>
  <c r="A9644" i="1"/>
  <c r="B9644" i="1"/>
  <c r="A9645" i="1"/>
  <c r="B9645" i="1"/>
  <c r="A9646" i="1"/>
  <c r="B9646" i="1"/>
  <c r="A9647" i="1"/>
  <c r="B9647" i="1"/>
  <c r="A9648" i="1"/>
  <c r="B9648" i="1"/>
  <c r="A9649" i="1"/>
  <c r="B9649" i="1"/>
  <c r="A9650" i="1"/>
  <c r="A9651" i="1"/>
  <c r="B9651" i="1"/>
  <c r="A9652" i="1"/>
  <c r="B9652" i="1"/>
  <c r="A9653" i="1"/>
  <c r="B9653" i="1"/>
  <c r="A9654" i="1"/>
  <c r="B9654" i="1"/>
  <c r="A9655" i="1"/>
  <c r="B9655" i="1"/>
  <c r="A9656" i="1"/>
  <c r="B9656" i="1"/>
  <c r="A9657" i="1"/>
  <c r="B9657" i="1"/>
  <c r="A9658" i="1"/>
  <c r="B9658" i="1"/>
  <c r="A9659" i="1"/>
  <c r="B9659" i="1"/>
  <c r="A9660" i="1"/>
  <c r="B9660" i="1"/>
  <c r="A9661" i="1"/>
  <c r="A9662" i="1"/>
  <c r="B9662" i="1"/>
  <c r="A9663" i="1"/>
  <c r="B9663" i="1"/>
  <c r="A9664" i="1"/>
  <c r="B9664" i="1"/>
  <c r="A9665" i="1"/>
  <c r="B9665" i="1"/>
  <c r="A9666" i="1"/>
  <c r="B9666" i="1"/>
  <c r="A9667" i="1"/>
  <c r="A9668" i="1"/>
  <c r="B9668" i="1"/>
  <c r="A9669" i="1"/>
  <c r="B9669" i="1"/>
  <c r="A9670" i="1"/>
  <c r="A9671" i="1"/>
  <c r="B9671" i="1"/>
  <c r="A9672" i="1"/>
  <c r="B9672" i="1"/>
  <c r="A9673" i="1"/>
  <c r="A9674" i="1"/>
  <c r="B9674" i="1"/>
  <c r="A9675" i="1"/>
  <c r="B9675" i="1"/>
  <c r="A9676" i="1"/>
  <c r="B9676" i="1"/>
  <c r="A9677" i="1"/>
  <c r="A9678" i="1"/>
  <c r="A9679" i="1"/>
  <c r="B9679" i="1"/>
  <c r="A9680" i="1"/>
  <c r="B9680" i="1"/>
  <c r="A9681" i="1"/>
  <c r="B9681" i="1"/>
  <c r="A9682" i="1"/>
  <c r="B9682" i="1"/>
  <c r="A9683" i="1"/>
  <c r="B9683" i="1"/>
  <c r="A9684" i="1"/>
  <c r="A9685" i="1"/>
  <c r="A9686" i="1"/>
  <c r="B9686" i="1"/>
  <c r="A9687" i="1"/>
  <c r="B9687" i="1"/>
  <c r="A9688" i="1"/>
  <c r="A9689" i="1"/>
  <c r="B9689" i="1"/>
  <c r="A9690" i="1"/>
  <c r="B9690" i="1"/>
  <c r="A9691" i="1"/>
  <c r="A9692" i="1"/>
  <c r="B9692" i="1"/>
  <c r="A9693" i="1"/>
  <c r="A9694" i="1"/>
  <c r="B9694" i="1"/>
  <c r="A9695" i="1"/>
  <c r="A9696" i="1"/>
  <c r="B9696" i="1"/>
  <c r="A9697" i="1"/>
  <c r="B9697" i="1"/>
  <c r="A9698" i="1"/>
  <c r="B9698" i="1"/>
  <c r="A9699" i="1"/>
  <c r="B9699" i="1"/>
  <c r="A9700" i="1"/>
  <c r="B9700" i="1"/>
  <c r="A9701" i="1"/>
  <c r="B9701" i="1"/>
  <c r="A9702" i="1"/>
  <c r="B9702" i="1"/>
  <c r="A9703" i="1"/>
  <c r="A9704" i="1"/>
  <c r="B9704" i="1"/>
  <c r="A9705" i="1"/>
  <c r="B9705" i="1"/>
  <c r="A9706" i="1"/>
  <c r="B9706" i="1"/>
  <c r="A9707" i="1"/>
  <c r="B9707" i="1"/>
  <c r="A9708" i="1"/>
  <c r="B9708" i="1"/>
  <c r="A9709" i="1"/>
  <c r="B9709" i="1"/>
  <c r="A9710" i="1"/>
  <c r="B9710" i="1"/>
  <c r="A9711" i="1"/>
  <c r="B9711" i="1"/>
  <c r="A9712" i="1"/>
  <c r="B9712" i="1"/>
  <c r="A9713" i="1"/>
  <c r="B9713" i="1"/>
  <c r="A9714" i="1"/>
  <c r="B9714" i="1"/>
  <c r="A9715" i="1"/>
  <c r="B9715" i="1"/>
  <c r="A9716" i="1"/>
  <c r="A9717" i="1"/>
  <c r="B9717" i="1"/>
  <c r="A9718" i="1"/>
  <c r="B9718" i="1"/>
  <c r="A9719" i="1"/>
  <c r="B9719" i="1"/>
  <c r="A9720" i="1"/>
  <c r="B9720" i="1"/>
  <c r="A9721" i="1"/>
  <c r="A9722" i="1"/>
  <c r="B9722" i="1"/>
  <c r="A9723" i="1"/>
  <c r="B9723" i="1"/>
  <c r="A9724" i="1"/>
  <c r="B9724" i="1"/>
  <c r="A9725" i="1"/>
  <c r="B9725" i="1"/>
  <c r="A9726" i="1"/>
  <c r="A9727" i="1"/>
  <c r="B9727" i="1"/>
  <c r="A9728" i="1"/>
  <c r="B9728" i="1"/>
  <c r="A9729" i="1"/>
  <c r="A9730" i="1"/>
  <c r="B9730" i="1"/>
  <c r="A9731" i="1"/>
  <c r="B9731" i="1"/>
  <c r="A9732" i="1"/>
  <c r="B9732" i="1"/>
  <c r="A9733" i="1"/>
  <c r="B9733" i="1"/>
  <c r="A9734" i="1"/>
  <c r="B9734" i="1"/>
  <c r="A9735" i="1"/>
  <c r="B9735" i="1"/>
  <c r="A9736" i="1"/>
  <c r="A9737" i="1"/>
  <c r="B9737" i="1"/>
  <c r="A9738" i="1"/>
  <c r="A9739" i="1"/>
  <c r="B9739" i="1"/>
  <c r="A9740" i="1"/>
  <c r="B9740" i="1"/>
  <c r="A9741" i="1"/>
  <c r="B9741" i="1"/>
  <c r="A9742" i="1"/>
  <c r="B9742" i="1"/>
  <c r="A9743" i="1"/>
  <c r="B9743" i="1"/>
  <c r="A9744" i="1"/>
  <c r="B9744" i="1"/>
  <c r="A9745" i="1"/>
  <c r="B9745" i="1"/>
  <c r="A9746" i="1"/>
  <c r="B9746" i="1"/>
  <c r="A9747" i="1"/>
  <c r="B9747" i="1"/>
  <c r="A9748" i="1"/>
  <c r="A9749" i="1"/>
  <c r="B9749" i="1"/>
  <c r="A9750" i="1"/>
  <c r="B9750" i="1"/>
  <c r="A9751" i="1"/>
  <c r="B9751" i="1"/>
  <c r="A9752" i="1"/>
  <c r="B9752" i="1"/>
  <c r="A9753" i="1"/>
  <c r="B9753" i="1"/>
  <c r="A9754" i="1"/>
  <c r="A9755" i="1"/>
  <c r="A9756" i="1"/>
  <c r="A9757" i="1"/>
  <c r="B9757" i="1"/>
  <c r="A9758" i="1"/>
  <c r="B9758" i="1"/>
  <c r="A9759" i="1"/>
  <c r="B9759" i="1"/>
  <c r="A9760" i="1"/>
  <c r="B9760" i="1"/>
  <c r="A9761" i="1"/>
  <c r="B9761" i="1"/>
  <c r="A9762" i="1"/>
  <c r="A9763" i="1"/>
  <c r="B9763" i="1"/>
  <c r="A9764" i="1"/>
  <c r="B9764" i="1"/>
  <c r="A9765" i="1"/>
  <c r="B9765" i="1"/>
  <c r="A9766" i="1"/>
  <c r="B9766" i="1"/>
  <c r="A9767" i="1"/>
  <c r="B9767" i="1"/>
  <c r="A9768" i="1"/>
  <c r="A9769" i="1"/>
  <c r="B9769" i="1"/>
  <c r="A9770" i="1"/>
  <c r="A9771" i="1"/>
  <c r="B9771" i="1"/>
  <c r="A9772" i="1"/>
  <c r="B9772" i="1"/>
  <c r="A9773" i="1"/>
  <c r="B9773" i="1"/>
  <c r="A9774" i="1"/>
  <c r="A9775" i="1"/>
  <c r="B9775" i="1"/>
  <c r="A9776" i="1"/>
  <c r="B9776" i="1"/>
  <c r="A9777" i="1"/>
  <c r="B9777" i="1"/>
  <c r="A9778" i="1"/>
  <c r="B9778" i="1"/>
  <c r="A9779" i="1"/>
  <c r="B9779" i="1"/>
  <c r="A9780" i="1"/>
  <c r="B9780" i="1"/>
  <c r="A9781" i="1"/>
  <c r="B9781" i="1"/>
  <c r="A9782" i="1"/>
  <c r="B9782" i="1"/>
  <c r="A9783" i="1"/>
  <c r="B9783" i="1"/>
  <c r="A9784" i="1"/>
  <c r="B9784" i="1"/>
  <c r="A9785" i="1"/>
  <c r="B9785" i="1"/>
  <c r="A9786" i="1"/>
  <c r="B9786" i="1"/>
  <c r="A9787" i="1"/>
  <c r="B9787" i="1"/>
  <c r="A9788" i="1"/>
  <c r="B9788" i="1"/>
  <c r="A9789" i="1"/>
  <c r="B9789" i="1"/>
  <c r="A9790" i="1"/>
  <c r="A9791" i="1"/>
  <c r="B9791" i="1"/>
  <c r="A9792" i="1"/>
  <c r="B9792" i="1"/>
  <c r="A9793" i="1"/>
  <c r="A9794" i="1"/>
  <c r="A9795" i="1"/>
  <c r="B9795" i="1"/>
  <c r="A9796" i="1"/>
  <c r="A9797" i="1"/>
  <c r="A9798" i="1"/>
  <c r="A9799" i="1"/>
  <c r="B9799" i="1"/>
  <c r="A9800" i="1"/>
  <c r="B9800" i="1"/>
  <c r="A9801" i="1"/>
  <c r="B9801" i="1"/>
  <c r="A9802" i="1"/>
  <c r="B9802" i="1"/>
  <c r="A9803" i="1"/>
  <c r="B9803" i="1"/>
  <c r="A9804" i="1"/>
  <c r="A9805" i="1"/>
  <c r="A9806" i="1"/>
  <c r="A9807" i="1"/>
  <c r="A9808" i="1"/>
  <c r="B9808" i="1"/>
  <c r="A9809" i="1"/>
  <c r="B9809" i="1"/>
  <c r="A9810" i="1"/>
  <c r="A9811" i="1"/>
  <c r="B9811" i="1"/>
  <c r="A9812" i="1"/>
  <c r="B9812" i="1"/>
  <c r="A9813" i="1"/>
  <c r="B9813" i="1"/>
  <c r="A9814" i="1"/>
  <c r="B9814" i="1"/>
  <c r="A9815" i="1"/>
  <c r="A9816" i="1"/>
  <c r="B9816" i="1"/>
  <c r="A9817" i="1"/>
  <c r="B9817" i="1"/>
  <c r="A9818" i="1"/>
  <c r="B9818" i="1"/>
  <c r="A9819" i="1"/>
  <c r="B9819" i="1"/>
  <c r="A9820" i="1"/>
  <c r="B9820" i="1"/>
  <c r="A9821" i="1"/>
  <c r="B9821" i="1"/>
  <c r="A9822" i="1"/>
  <c r="B9822" i="1"/>
  <c r="A9823" i="1"/>
  <c r="B9823" i="1"/>
  <c r="A9824" i="1"/>
  <c r="B9824" i="1"/>
  <c r="A9825" i="1"/>
  <c r="B9825" i="1"/>
  <c r="A9826" i="1"/>
  <c r="B9826" i="1"/>
  <c r="A9827" i="1"/>
  <c r="A9828" i="1"/>
  <c r="B9828" i="1"/>
  <c r="A9829" i="1"/>
  <c r="B9829" i="1"/>
  <c r="A9830" i="1"/>
  <c r="B9830" i="1"/>
  <c r="A9831" i="1"/>
  <c r="B9831" i="1"/>
  <c r="A9832" i="1"/>
  <c r="B9832" i="1"/>
  <c r="A9833" i="1"/>
  <c r="B9833" i="1"/>
  <c r="A9834" i="1"/>
  <c r="B9834" i="1"/>
  <c r="A9835" i="1"/>
  <c r="B9835" i="1"/>
  <c r="A9836" i="1"/>
  <c r="A9837" i="1"/>
  <c r="A9838" i="1"/>
  <c r="A9839" i="1"/>
  <c r="A9840" i="1"/>
  <c r="B9840" i="1"/>
  <c r="A9841" i="1"/>
  <c r="B9841" i="1"/>
  <c r="A9842" i="1"/>
  <c r="A9843" i="1"/>
  <c r="B9843" i="1"/>
  <c r="A9844" i="1"/>
  <c r="B9844" i="1"/>
  <c r="A9845" i="1"/>
  <c r="B9845" i="1"/>
  <c r="A9846" i="1"/>
  <c r="B9846" i="1"/>
  <c r="A9847" i="1"/>
  <c r="B9847" i="1"/>
  <c r="A9848" i="1"/>
  <c r="B9848" i="1"/>
  <c r="A9849" i="1"/>
  <c r="B9849" i="1"/>
  <c r="A9850" i="1"/>
  <c r="B9850" i="1"/>
  <c r="A9851" i="1"/>
  <c r="B9851" i="1"/>
  <c r="A9852" i="1"/>
  <c r="B9852" i="1"/>
  <c r="A9853" i="1"/>
  <c r="B9853" i="1"/>
  <c r="A9854" i="1"/>
  <c r="B9854" i="1"/>
  <c r="A9855" i="1"/>
  <c r="B9855" i="1"/>
  <c r="A9856" i="1"/>
  <c r="A9857" i="1"/>
  <c r="A9858" i="1"/>
  <c r="B9858" i="1"/>
  <c r="A9859" i="1"/>
  <c r="B9859" i="1"/>
  <c r="A9860" i="1"/>
  <c r="B9860" i="1"/>
  <c r="A9861" i="1"/>
  <c r="A9862" i="1"/>
  <c r="B9862" i="1"/>
  <c r="A9863" i="1"/>
  <c r="A9864" i="1"/>
  <c r="B9864" i="1"/>
  <c r="A9865" i="1"/>
  <c r="B9865" i="1"/>
  <c r="A9866" i="1"/>
  <c r="A9867" i="1"/>
  <c r="B9867" i="1"/>
  <c r="A9868" i="1"/>
  <c r="B9868" i="1"/>
  <c r="A9869" i="1"/>
  <c r="B9869" i="1"/>
  <c r="A9870" i="1"/>
  <c r="B9870" i="1"/>
  <c r="A9871" i="1"/>
  <c r="A9872" i="1"/>
  <c r="A9873" i="1"/>
  <c r="B9873" i="1"/>
  <c r="A9874" i="1"/>
  <c r="A9875" i="1"/>
  <c r="B9875" i="1"/>
  <c r="A9876" i="1"/>
  <c r="B9876" i="1"/>
  <c r="A9877" i="1"/>
  <c r="B9877" i="1"/>
  <c r="A9878" i="1"/>
  <c r="B9878" i="1"/>
  <c r="A9879" i="1"/>
  <c r="B9879" i="1"/>
  <c r="A9880" i="1"/>
  <c r="B9880" i="1"/>
  <c r="A9881" i="1"/>
  <c r="B9881" i="1"/>
  <c r="A9882" i="1"/>
  <c r="B9882" i="1"/>
  <c r="A9883" i="1"/>
  <c r="B9883" i="1"/>
  <c r="A9884" i="1"/>
  <c r="B9884" i="1"/>
  <c r="A9885" i="1"/>
  <c r="B9885" i="1"/>
  <c r="A9886" i="1"/>
  <c r="A9887" i="1"/>
  <c r="B9887" i="1"/>
  <c r="A9888" i="1"/>
  <c r="A9889" i="1"/>
  <c r="B9889" i="1"/>
  <c r="A9890" i="1"/>
  <c r="B9890" i="1"/>
  <c r="A9891" i="1"/>
  <c r="B9891" i="1"/>
  <c r="A9892" i="1"/>
  <c r="B9892" i="1"/>
  <c r="A9893" i="1"/>
  <c r="B9893" i="1"/>
  <c r="A9894" i="1"/>
  <c r="B9894" i="1"/>
  <c r="A9895" i="1"/>
  <c r="B9895" i="1"/>
  <c r="A9896" i="1"/>
  <c r="B9896" i="1"/>
  <c r="A9897" i="1"/>
  <c r="A9898" i="1"/>
  <c r="B9898" i="1"/>
  <c r="A9899" i="1"/>
  <c r="B9899" i="1"/>
  <c r="A9900" i="1"/>
  <c r="B9900" i="1"/>
  <c r="A9901" i="1"/>
  <c r="B9901" i="1"/>
  <c r="A9902" i="1"/>
  <c r="B9902" i="1"/>
  <c r="A9903" i="1"/>
  <c r="B9903" i="1"/>
  <c r="A9904" i="1"/>
  <c r="B9904" i="1"/>
  <c r="A9905" i="1"/>
  <c r="B9905" i="1"/>
  <c r="A9906" i="1"/>
  <c r="B9906" i="1"/>
  <c r="A9907" i="1"/>
  <c r="B9907" i="1"/>
  <c r="A9908" i="1"/>
  <c r="B9908" i="1"/>
  <c r="A9909" i="1"/>
  <c r="B9909" i="1"/>
  <c r="A9910" i="1"/>
  <c r="B9910" i="1"/>
  <c r="A9911" i="1"/>
  <c r="B9911" i="1"/>
  <c r="A9912" i="1"/>
  <c r="B9912" i="1"/>
  <c r="A9913" i="1"/>
  <c r="A9914" i="1"/>
  <c r="B9914" i="1"/>
  <c r="A9915" i="1"/>
  <c r="B9915" i="1"/>
  <c r="A9916" i="1"/>
  <c r="B9916" i="1"/>
  <c r="A9917" i="1"/>
  <c r="B9917" i="1"/>
  <c r="A9918" i="1"/>
  <c r="B9918" i="1"/>
  <c r="A9919" i="1"/>
  <c r="B9919" i="1"/>
  <c r="A9920" i="1"/>
  <c r="B9920" i="1"/>
  <c r="A9921" i="1"/>
  <c r="B9921" i="1"/>
  <c r="A9922" i="1"/>
  <c r="B9922" i="1"/>
  <c r="A9923" i="1"/>
  <c r="B9923" i="1"/>
  <c r="A9924" i="1"/>
  <c r="B9924" i="1"/>
  <c r="A9925" i="1"/>
  <c r="A9926" i="1"/>
  <c r="B9926" i="1"/>
  <c r="A9927" i="1"/>
  <c r="B9927" i="1"/>
  <c r="A9928" i="1"/>
  <c r="B9928" i="1"/>
  <c r="A9929" i="1"/>
  <c r="B9929" i="1"/>
  <c r="A9930" i="1"/>
  <c r="B9930" i="1"/>
  <c r="A9931" i="1"/>
  <c r="B9931" i="1"/>
  <c r="A9932" i="1"/>
  <c r="B9932" i="1"/>
  <c r="A9933" i="1"/>
  <c r="B9933" i="1"/>
  <c r="A9934" i="1"/>
  <c r="B9934" i="1"/>
  <c r="A9935" i="1"/>
  <c r="B9935" i="1"/>
  <c r="A9936" i="1"/>
  <c r="B9936" i="1"/>
  <c r="A9937" i="1"/>
  <c r="B9937" i="1"/>
  <c r="A9938" i="1"/>
  <c r="B9938" i="1"/>
  <c r="A9939" i="1"/>
  <c r="B9939" i="1"/>
  <c r="A9940" i="1"/>
  <c r="B9940" i="1"/>
  <c r="A9941" i="1"/>
  <c r="B9941" i="1"/>
  <c r="A9942" i="1"/>
  <c r="B9942" i="1"/>
  <c r="A9943" i="1"/>
  <c r="B9943" i="1"/>
  <c r="A9944" i="1"/>
  <c r="B9944" i="1"/>
  <c r="A9945" i="1"/>
  <c r="B9945" i="1"/>
  <c r="A9946" i="1"/>
  <c r="B9946" i="1"/>
  <c r="A9947" i="1"/>
  <c r="B9947" i="1"/>
  <c r="A9948" i="1"/>
  <c r="B9948" i="1"/>
  <c r="A9949" i="1"/>
  <c r="A9950" i="1"/>
  <c r="B9950" i="1"/>
  <c r="A9951" i="1"/>
  <c r="B9951" i="1"/>
  <c r="A9952" i="1"/>
  <c r="B9952" i="1"/>
  <c r="A9953" i="1"/>
  <c r="B9953" i="1"/>
  <c r="A9954" i="1"/>
  <c r="A9955" i="1"/>
  <c r="B9955" i="1"/>
  <c r="A9956" i="1"/>
  <c r="B9956" i="1"/>
  <c r="A9957" i="1"/>
  <c r="B9957" i="1"/>
  <c r="A9958" i="1"/>
  <c r="B9958" i="1"/>
  <c r="A9959" i="1"/>
  <c r="B9959" i="1"/>
  <c r="A9960" i="1"/>
  <c r="B9960" i="1"/>
  <c r="A9961" i="1"/>
  <c r="B9961" i="1"/>
  <c r="A9962" i="1"/>
  <c r="B9962" i="1"/>
  <c r="A9963" i="1"/>
  <c r="B9963" i="1"/>
  <c r="A9964" i="1"/>
  <c r="A9965" i="1"/>
  <c r="B9965" i="1"/>
  <c r="A9966" i="1"/>
  <c r="A9967" i="1"/>
  <c r="B9967" i="1"/>
  <c r="A9968" i="1"/>
  <c r="B9968" i="1"/>
  <c r="A9969" i="1"/>
  <c r="B9969" i="1"/>
  <c r="A9970" i="1"/>
  <c r="B9970" i="1"/>
  <c r="A9971" i="1"/>
  <c r="B9971" i="1"/>
  <c r="A9972" i="1"/>
  <c r="B9972" i="1"/>
  <c r="A9973" i="1"/>
  <c r="B9973" i="1"/>
  <c r="A9974" i="1"/>
  <c r="B9974" i="1"/>
  <c r="A9975" i="1"/>
  <c r="A9976" i="1"/>
  <c r="B9976" i="1"/>
  <c r="A9977" i="1"/>
  <c r="B9977" i="1"/>
  <c r="A9978" i="1"/>
  <c r="B9978" i="1"/>
  <c r="A9979" i="1"/>
  <c r="B9979" i="1"/>
  <c r="A9980" i="1"/>
  <c r="B9980" i="1"/>
  <c r="A9981" i="1"/>
  <c r="B9981" i="1"/>
  <c r="A9982" i="1"/>
  <c r="B9982" i="1"/>
  <c r="A9983" i="1"/>
  <c r="B9983" i="1"/>
  <c r="A9984" i="1"/>
  <c r="B9984" i="1"/>
  <c r="A9985" i="1"/>
  <c r="B9985" i="1"/>
  <c r="A9986" i="1"/>
  <c r="B9986" i="1"/>
  <c r="A9987" i="1"/>
  <c r="B9987" i="1"/>
  <c r="A9988" i="1"/>
  <c r="A9989" i="1"/>
  <c r="A9990" i="1"/>
  <c r="B9990" i="1"/>
  <c r="A9991" i="1"/>
  <c r="B9991" i="1"/>
  <c r="A9992" i="1"/>
  <c r="B9992" i="1"/>
  <c r="A9993" i="1"/>
  <c r="B9993" i="1"/>
  <c r="A9994" i="1"/>
  <c r="B9994" i="1"/>
  <c r="A9995" i="1"/>
  <c r="B9995" i="1"/>
  <c r="A9996" i="1"/>
  <c r="A9997" i="1"/>
  <c r="B9997" i="1"/>
  <c r="A9998" i="1"/>
  <c r="B9998" i="1"/>
  <c r="A9999" i="1"/>
  <c r="B9999" i="1"/>
  <c r="A10000" i="1"/>
  <c r="A10001" i="1"/>
  <c r="B10001" i="1"/>
  <c r="A10002" i="1"/>
  <c r="B10002" i="1"/>
  <c r="A10003" i="1"/>
  <c r="B10003" i="1"/>
  <c r="A10004" i="1"/>
  <c r="B10004" i="1"/>
  <c r="A10005" i="1"/>
  <c r="B10005" i="1"/>
  <c r="A10006" i="1"/>
  <c r="B10006" i="1"/>
  <c r="A10007" i="1"/>
  <c r="B10007" i="1"/>
  <c r="A10008" i="1"/>
  <c r="B10008" i="1"/>
  <c r="A10009" i="1"/>
  <c r="B10009" i="1"/>
  <c r="A10010" i="1"/>
  <c r="B10010" i="1"/>
  <c r="A10011" i="1"/>
  <c r="B10011" i="1"/>
  <c r="A10012" i="1"/>
  <c r="B10012" i="1"/>
  <c r="A10013" i="1"/>
  <c r="B10013" i="1"/>
  <c r="A10014" i="1"/>
  <c r="B10014" i="1"/>
  <c r="A10015" i="1"/>
  <c r="B10015" i="1"/>
  <c r="A10016" i="1"/>
  <c r="B10016" i="1"/>
  <c r="A10017" i="1"/>
  <c r="B10017" i="1"/>
  <c r="A10018" i="1"/>
  <c r="B10018" i="1"/>
  <c r="A10019" i="1"/>
  <c r="B10019" i="1"/>
  <c r="A10020" i="1"/>
  <c r="B10020" i="1"/>
  <c r="A10021" i="1"/>
  <c r="B10021" i="1"/>
  <c r="A10022" i="1"/>
  <c r="B10022" i="1"/>
  <c r="A10023" i="1"/>
  <c r="B10023" i="1"/>
  <c r="A10024" i="1"/>
  <c r="A10025" i="1"/>
  <c r="B10025" i="1"/>
  <c r="A10026" i="1"/>
  <c r="B10026" i="1"/>
  <c r="A10027" i="1"/>
  <c r="B10027" i="1"/>
  <c r="A10028" i="1"/>
  <c r="A10029" i="1"/>
  <c r="B10029" i="1"/>
  <c r="A10030" i="1"/>
  <c r="B10030" i="1"/>
  <c r="A10031" i="1"/>
  <c r="B10031" i="1"/>
  <c r="A10032" i="1"/>
  <c r="B10032" i="1"/>
  <c r="A10033" i="1"/>
  <c r="B10033" i="1"/>
  <c r="A10034" i="1"/>
  <c r="B10034" i="1"/>
  <c r="A10035" i="1"/>
  <c r="B10035" i="1"/>
  <c r="A10036" i="1"/>
  <c r="A10037" i="1"/>
  <c r="B10037" i="1"/>
  <c r="A10038" i="1"/>
  <c r="B10038" i="1"/>
  <c r="A10039" i="1"/>
  <c r="B10039" i="1"/>
  <c r="A10040" i="1"/>
  <c r="B10040" i="1"/>
  <c r="A10041" i="1"/>
  <c r="B10041" i="1"/>
  <c r="A10042" i="1"/>
  <c r="B10042" i="1"/>
  <c r="A10043" i="1"/>
  <c r="B10043" i="1"/>
  <c r="A10044" i="1"/>
  <c r="B10044" i="1"/>
  <c r="A10045" i="1"/>
  <c r="B10045" i="1"/>
  <c r="A10046" i="1"/>
  <c r="B10046" i="1"/>
  <c r="A10047" i="1"/>
  <c r="B10047" i="1"/>
  <c r="A10048" i="1"/>
  <c r="B10048" i="1"/>
  <c r="A10049" i="1"/>
  <c r="B10049" i="1"/>
  <c r="A10050" i="1"/>
  <c r="B10050" i="1"/>
  <c r="A10051" i="1"/>
  <c r="B10051" i="1"/>
  <c r="A10052" i="1"/>
  <c r="B10052" i="1"/>
  <c r="A10053" i="1"/>
  <c r="B10053" i="1"/>
  <c r="A10054" i="1"/>
  <c r="B10054" i="1"/>
  <c r="A10055" i="1"/>
  <c r="B10055" i="1"/>
  <c r="A10056" i="1"/>
  <c r="B10056" i="1"/>
  <c r="A10057" i="1"/>
  <c r="B10057" i="1"/>
  <c r="A10058" i="1"/>
  <c r="B10058" i="1"/>
  <c r="A10059" i="1"/>
  <c r="B10059" i="1"/>
  <c r="A10060" i="1"/>
  <c r="A10061" i="1"/>
  <c r="B10061" i="1"/>
  <c r="A10062" i="1"/>
  <c r="B10062" i="1"/>
  <c r="A10063" i="1"/>
  <c r="B10063" i="1"/>
  <c r="A10064" i="1"/>
  <c r="B10064" i="1"/>
  <c r="A10065" i="1"/>
  <c r="B10065" i="1"/>
  <c r="A10066" i="1"/>
  <c r="B10066" i="1"/>
  <c r="A10067" i="1"/>
  <c r="B10067" i="1"/>
  <c r="A10068" i="1"/>
  <c r="B10068" i="1"/>
  <c r="A10069" i="1"/>
  <c r="B10069" i="1"/>
  <c r="A10070" i="1"/>
  <c r="B10070" i="1"/>
  <c r="A10071" i="1"/>
  <c r="B10071" i="1"/>
  <c r="A10072" i="1"/>
  <c r="B10072" i="1"/>
  <c r="A10073" i="1"/>
  <c r="A10074" i="1"/>
  <c r="A10075" i="1"/>
  <c r="A10076" i="1"/>
  <c r="A10077" i="1"/>
  <c r="B10077" i="1"/>
  <c r="A10078" i="1"/>
  <c r="A10079" i="1"/>
  <c r="A10080" i="1"/>
  <c r="A10081" i="1"/>
  <c r="B10081" i="1"/>
  <c r="A10082" i="1"/>
  <c r="B10082" i="1"/>
  <c r="A10083" i="1"/>
  <c r="B10083" i="1"/>
  <c r="A10084" i="1"/>
  <c r="A10085" i="1"/>
  <c r="B10085" i="1"/>
  <c r="A10086" i="1"/>
  <c r="B10086" i="1"/>
  <c r="A10087" i="1"/>
  <c r="A10088" i="1"/>
  <c r="B10088" i="1"/>
  <c r="A10089" i="1"/>
  <c r="B10089" i="1"/>
  <c r="A10090" i="1"/>
  <c r="B10090" i="1"/>
  <c r="A10091" i="1"/>
  <c r="B10091" i="1"/>
  <c r="A10092" i="1"/>
  <c r="B10092" i="1"/>
  <c r="A10093" i="1"/>
  <c r="A10094" i="1"/>
  <c r="A10095" i="1"/>
  <c r="B10095" i="1"/>
  <c r="A10096" i="1"/>
  <c r="B10096" i="1"/>
  <c r="A10097" i="1"/>
  <c r="A10098" i="1"/>
  <c r="A10099" i="1"/>
  <c r="B10099" i="1"/>
  <c r="A10100" i="1"/>
  <c r="B10100" i="1"/>
  <c r="A10101" i="1"/>
  <c r="B10101" i="1"/>
  <c r="A10102" i="1"/>
  <c r="B10102" i="1"/>
  <c r="A10103" i="1"/>
  <c r="B10103" i="1"/>
  <c r="A10104" i="1"/>
  <c r="A10105" i="1"/>
  <c r="B10105" i="1"/>
  <c r="A10106" i="1"/>
  <c r="B10106" i="1"/>
  <c r="A10107" i="1"/>
  <c r="B10107" i="1"/>
  <c r="A10108" i="1"/>
  <c r="B10108" i="1"/>
  <c r="A10109" i="1"/>
  <c r="B10109" i="1"/>
  <c r="A10110" i="1"/>
  <c r="A10111" i="1"/>
  <c r="B10111" i="1"/>
  <c r="A10112" i="1"/>
  <c r="B10112" i="1"/>
  <c r="A10113" i="1"/>
  <c r="B10113" i="1"/>
  <c r="A10114" i="1"/>
  <c r="B10114" i="1"/>
  <c r="A10115" i="1"/>
  <c r="B10115" i="1"/>
  <c r="A10116" i="1"/>
  <c r="B10116" i="1"/>
  <c r="A10117" i="1"/>
  <c r="A10118" i="1"/>
  <c r="B10118" i="1"/>
  <c r="A10119" i="1"/>
  <c r="B10119" i="1"/>
  <c r="A10120" i="1"/>
  <c r="B10120" i="1"/>
  <c r="A10121" i="1"/>
  <c r="B10121" i="1"/>
  <c r="A10122" i="1"/>
  <c r="B10122" i="1"/>
  <c r="A10123" i="1"/>
  <c r="B10123" i="1"/>
  <c r="A10124" i="1"/>
  <c r="B10124" i="1"/>
  <c r="A10125" i="1"/>
  <c r="B10125" i="1"/>
  <c r="A10126" i="1"/>
  <c r="B10126" i="1"/>
  <c r="A10127" i="1"/>
  <c r="B10127" i="1"/>
  <c r="A10128" i="1"/>
  <c r="B10128" i="1"/>
  <c r="A10129" i="1"/>
  <c r="B10129" i="1"/>
  <c r="A10130" i="1"/>
  <c r="B10130" i="1"/>
  <c r="A10131" i="1"/>
  <c r="A10132" i="1"/>
  <c r="A10133" i="1"/>
  <c r="A10134" i="1"/>
  <c r="A10135" i="1"/>
  <c r="A10136" i="1"/>
  <c r="B10136" i="1"/>
  <c r="A10137" i="1"/>
  <c r="B10137" i="1"/>
  <c r="A10138" i="1"/>
  <c r="B10138" i="1"/>
  <c r="A10139" i="1"/>
  <c r="B10139" i="1"/>
  <c r="A10140" i="1"/>
  <c r="B10140" i="1"/>
  <c r="A10141" i="1"/>
  <c r="B10141" i="1"/>
  <c r="A10142" i="1"/>
  <c r="B10142" i="1"/>
  <c r="A10143" i="1"/>
  <c r="A10144" i="1"/>
  <c r="A10145" i="1"/>
  <c r="B10145" i="1"/>
  <c r="A10146" i="1"/>
  <c r="B10146" i="1"/>
  <c r="A10147" i="1"/>
  <c r="B10147" i="1"/>
  <c r="A10148" i="1"/>
  <c r="B10148" i="1"/>
  <c r="A10149" i="1"/>
  <c r="B10149" i="1"/>
  <c r="A10150" i="1"/>
  <c r="B10150" i="1"/>
  <c r="A10151" i="1"/>
  <c r="B10151" i="1"/>
  <c r="A10152" i="1"/>
  <c r="B10152" i="1"/>
  <c r="A10153" i="1"/>
  <c r="B10153" i="1"/>
  <c r="A10154" i="1"/>
  <c r="B10154" i="1"/>
  <c r="A10155" i="1"/>
  <c r="B10155" i="1"/>
  <c r="A10156" i="1"/>
  <c r="B10156" i="1"/>
  <c r="A10157" i="1"/>
  <c r="B10157" i="1"/>
  <c r="A10158" i="1"/>
  <c r="B10158" i="1"/>
  <c r="A10159" i="1"/>
  <c r="B10159" i="1"/>
  <c r="A10160" i="1"/>
  <c r="A10161" i="1"/>
  <c r="B10161" i="1"/>
  <c r="A10162" i="1"/>
  <c r="B10162" i="1"/>
  <c r="A10163" i="1"/>
  <c r="B10163" i="1"/>
  <c r="A10164" i="1"/>
  <c r="B10164" i="1"/>
  <c r="A10165" i="1"/>
  <c r="A10166" i="1"/>
  <c r="A10167" i="1"/>
  <c r="A10168" i="1"/>
  <c r="A10169" i="1"/>
  <c r="B10169" i="1"/>
  <c r="A10170" i="1"/>
  <c r="A10171" i="1"/>
  <c r="A10172" i="1"/>
  <c r="A10173" i="1"/>
  <c r="A10174" i="1"/>
  <c r="A10175" i="1"/>
  <c r="A10176" i="1"/>
  <c r="A10177" i="1"/>
  <c r="A10178" i="1"/>
  <c r="B10178" i="1"/>
  <c r="A10179" i="1"/>
  <c r="B10179" i="1"/>
  <c r="A10180" i="1"/>
  <c r="B10180" i="1"/>
  <c r="A10181" i="1"/>
  <c r="A10182" i="1"/>
  <c r="B10182" i="1"/>
  <c r="A10183" i="1"/>
  <c r="B10183" i="1"/>
  <c r="A10184" i="1"/>
  <c r="B10184" i="1"/>
  <c r="A10185" i="1"/>
  <c r="B10185" i="1"/>
  <c r="A10186" i="1"/>
  <c r="B10186" i="1"/>
  <c r="A10187" i="1"/>
  <c r="A10188" i="1"/>
  <c r="A10189" i="1"/>
  <c r="A10190" i="1"/>
  <c r="A10191" i="1"/>
  <c r="B10191" i="1"/>
  <c r="A10192" i="1"/>
  <c r="A10193" i="1"/>
  <c r="B10193" i="1"/>
  <c r="A10194" i="1"/>
  <c r="B10194" i="1"/>
  <c r="A10195" i="1"/>
  <c r="A10196" i="1"/>
  <c r="A10197" i="1"/>
  <c r="B10197" i="1"/>
  <c r="A10198" i="1"/>
  <c r="B10198" i="1"/>
  <c r="A10199" i="1"/>
  <c r="B10199" i="1"/>
  <c r="A10200" i="1"/>
  <c r="B10200" i="1"/>
  <c r="A10201" i="1"/>
  <c r="B10201" i="1"/>
  <c r="A10202" i="1"/>
  <c r="B10202" i="1"/>
  <c r="A10203" i="1"/>
  <c r="A10204" i="1"/>
  <c r="B10204" i="1"/>
  <c r="A10205" i="1"/>
  <c r="B10205" i="1"/>
  <c r="A10206" i="1"/>
  <c r="B10206" i="1"/>
  <c r="A10207" i="1"/>
  <c r="B10207" i="1"/>
  <c r="A10208" i="1"/>
  <c r="B10208" i="1"/>
  <c r="A10209" i="1"/>
  <c r="B10209" i="1"/>
  <c r="A10210" i="1"/>
  <c r="A10211" i="1"/>
  <c r="B10211" i="1"/>
  <c r="A10212" i="1"/>
  <c r="B10212" i="1"/>
  <c r="A10213" i="1"/>
  <c r="B10213" i="1"/>
  <c r="A10214" i="1"/>
  <c r="B10214" i="1"/>
  <c r="A10215" i="1"/>
  <c r="A10216" i="1"/>
  <c r="B10216" i="1"/>
  <c r="A10217" i="1"/>
  <c r="B10217" i="1"/>
  <c r="A10218" i="1"/>
  <c r="B10218" i="1"/>
  <c r="A10219" i="1"/>
  <c r="B10219" i="1"/>
  <c r="A10220" i="1"/>
  <c r="B10220" i="1"/>
  <c r="A10221" i="1"/>
  <c r="B10221" i="1"/>
  <c r="A10222" i="1"/>
  <c r="B10222" i="1"/>
  <c r="A10223" i="1"/>
  <c r="B10223" i="1"/>
  <c r="A10224" i="1"/>
  <c r="B10224" i="1"/>
  <c r="A10225" i="1"/>
  <c r="B10225" i="1"/>
  <c r="A10226" i="1"/>
  <c r="B10226" i="1"/>
  <c r="A10227" i="1"/>
  <c r="B10227" i="1"/>
  <c r="A10228" i="1"/>
  <c r="B10228" i="1"/>
  <c r="A10229" i="1"/>
  <c r="B10229" i="1"/>
  <c r="A10230" i="1"/>
  <c r="B10230" i="1"/>
  <c r="A10231" i="1"/>
  <c r="B10231" i="1"/>
  <c r="A10232" i="1"/>
  <c r="B10232" i="1"/>
  <c r="A10233" i="1"/>
  <c r="A10234" i="1"/>
  <c r="A10235" i="1"/>
  <c r="B10235" i="1"/>
  <c r="A10236" i="1"/>
  <c r="A10237" i="1"/>
  <c r="B10237" i="1"/>
  <c r="A10238" i="1"/>
  <c r="B10238" i="1"/>
  <c r="A10239" i="1"/>
  <c r="B10239" i="1"/>
  <c r="A10240" i="1"/>
  <c r="B10240" i="1"/>
  <c r="A10241" i="1"/>
  <c r="B10241" i="1"/>
  <c r="A10242" i="1"/>
  <c r="B10242" i="1"/>
  <c r="A10243" i="1"/>
  <c r="B10243" i="1"/>
  <c r="A10244" i="1"/>
  <c r="B10244" i="1"/>
  <c r="A10245" i="1"/>
  <c r="B10245" i="1"/>
  <c r="A10246" i="1"/>
  <c r="B10246" i="1"/>
  <c r="A10247" i="1"/>
  <c r="A10248" i="1"/>
  <c r="A10249" i="1"/>
  <c r="A10250" i="1"/>
  <c r="A10251" i="1"/>
  <c r="B10251" i="1"/>
  <c r="A10252" i="1"/>
  <c r="B10252" i="1"/>
  <c r="A10253" i="1"/>
  <c r="B10253" i="1"/>
  <c r="A10254" i="1"/>
  <c r="B10254" i="1"/>
  <c r="A10255" i="1"/>
  <c r="B10255" i="1"/>
  <c r="A10256" i="1"/>
  <c r="B10256" i="1"/>
  <c r="A10257" i="1"/>
  <c r="B10257" i="1"/>
  <c r="A10258" i="1"/>
  <c r="B10258" i="1"/>
  <c r="A10259" i="1"/>
  <c r="B10259" i="1"/>
  <c r="A10260" i="1"/>
  <c r="B10260" i="1"/>
  <c r="A10261" i="1"/>
  <c r="B10261" i="1"/>
  <c r="A10262" i="1"/>
  <c r="B10262" i="1"/>
  <c r="A10263" i="1"/>
  <c r="B10263" i="1"/>
  <c r="A10264" i="1"/>
  <c r="B10264" i="1"/>
  <c r="A10265" i="1"/>
  <c r="B10265" i="1"/>
  <c r="A10266" i="1"/>
  <c r="B10266" i="1"/>
  <c r="A10267" i="1"/>
  <c r="B10267" i="1"/>
  <c r="A10268" i="1"/>
  <c r="B10268" i="1"/>
  <c r="A10269" i="1"/>
  <c r="B10269" i="1"/>
  <c r="A10270" i="1"/>
  <c r="B10270" i="1"/>
  <c r="A10271" i="1"/>
  <c r="B10271" i="1"/>
  <c r="A10272" i="1"/>
  <c r="B10272" i="1"/>
  <c r="A10273" i="1"/>
  <c r="B10273" i="1"/>
  <c r="A10274" i="1"/>
  <c r="B10274" i="1"/>
  <c r="A10275" i="1"/>
  <c r="B10275" i="1"/>
  <c r="A10276" i="1"/>
  <c r="B10276" i="1"/>
  <c r="A10277" i="1"/>
  <c r="A10278" i="1"/>
  <c r="B10278" i="1"/>
  <c r="A10279" i="1"/>
  <c r="B10279" i="1"/>
  <c r="A10280" i="1"/>
  <c r="B10280" i="1"/>
  <c r="A10281" i="1"/>
  <c r="B10281" i="1"/>
  <c r="A10282" i="1"/>
  <c r="B10282" i="1"/>
  <c r="A10283" i="1"/>
  <c r="A10284" i="1"/>
  <c r="B10284" i="1"/>
  <c r="A10285" i="1"/>
  <c r="A10286" i="1"/>
  <c r="A10287" i="1"/>
  <c r="B10287" i="1"/>
  <c r="A10288" i="1"/>
  <c r="B10288" i="1"/>
  <c r="A10289" i="1"/>
  <c r="B10289" i="1"/>
  <c r="A10290" i="1"/>
  <c r="B10290" i="1"/>
  <c r="A10291" i="1"/>
  <c r="B10291" i="1"/>
  <c r="A10292" i="1"/>
  <c r="B10292" i="1"/>
  <c r="A10293" i="1"/>
  <c r="B10293" i="1"/>
  <c r="A10294" i="1"/>
  <c r="B10294" i="1"/>
  <c r="A10295" i="1"/>
  <c r="B10295" i="1"/>
  <c r="A10296" i="1"/>
  <c r="B10296" i="1"/>
  <c r="A10297" i="1"/>
  <c r="B10297" i="1"/>
  <c r="A10298" i="1"/>
  <c r="B10298" i="1"/>
  <c r="A10299" i="1"/>
  <c r="B10299" i="1"/>
  <c r="A10300" i="1"/>
  <c r="B10300" i="1"/>
  <c r="A10301" i="1"/>
  <c r="B10301" i="1"/>
  <c r="A10302" i="1"/>
  <c r="B10302" i="1"/>
  <c r="A10303" i="1"/>
  <c r="B10303" i="1"/>
  <c r="A10304" i="1"/>
  <c r="A10305" i="1"/>
  <c r="B10305" i="1"/>
  <c r="A10306" i="1"/>
  <c r="A10307" i="1"/>
  <c r="A10308" i="1"/>
  <c r="B10308" i="1"/>
  <c r="A10309" i="1"/>
  <c r="B10309" i="1"/>
  <c r="A10310" i="1"/>
  <c r="A10311" i="1"/>
  <c r="B10311" i="1"/>
  <c r="A10312" i="1"/>
  <c r="A10313" i="1"/>
  <c r="A10314" i="1"/>
  <c r="B10314" i="1"/>
  <c r="A10315" i="1"/>
  <c r="A10316" i="1"/>
  <c r="B10316" i="1"/>
  <c r="A10317" i="1"/>
  <c r="A10318" i="1"/>
  <c r="B10318" i="1"/>
  <c r="A10319" i="1"/>
  <c r="B10319" i="1"/>
  <c r="A10320" i="1"/>
  <c r="A10321" i="1"/>
  <c r="B10321" i="1"/>
  <c r="A10322" i="1"/>
  <c r="B10322" i="1"/>
  <c r="A10323" i="1"/>
  <c r="B10323" i="1"/>
  <c r="A10324" i="1"/>
  <c r="B10324" i="1"/>
  <c r="A10325" i="1"/>
  <c r="B10325" i="1"/>
  <c r="A10326" i="1"/>
  <c r="A10327" i="1"/>
  <c r="A10328" i="1"/>
  <c r="A10329" i="1"/>
  <c r="B10329" i="1"/>
  <c r="A10330" i="1"/>
  <c r="A10331" i="1"/>
  <c r="B10331" i="1"/>
  <c r="A10332" i="1"/>
  <c r="B10332" i="1"/>
  <c r="A10333" i="1"/>
  <c r="B10333" i="1"/>
  <c r="A10334" i="1"/>
  <c r="B10334" i="1"/>
  <c r="A10335" i="1"/>
  <c r="A10336" i="1"/>
  <c r="B10336" i="1"/>
  <c r="A10337" i="1"/>
  <c r="A10338" i="1"/>
  <c r="B10338" i="1"/>
  <c r="A10339" i="1"/>
  <c r="A10340" i="1"/>
  <c r="A10341" i="1"/>
  <c r="A10342" i="1"/>
  <c r="A10343" i="1"/>
  <c r="A10344" i="1"/>
  <c r="B10344" i="1"/>
  <c r="A10345" i="1"/>
  <c r="B10345" i="1"/>
  <c r="A10346" i="1"/>
  <c r="B10346" i="1"/>
  <c r="A10347" i="1"/>
  <c r="A10348" i="1"/>
  <c r="A10349" i="1"/>
  <c r="B10349" i="1"/>
  <c r="A10350" i="1"/>
  <c r="A10351" i="1"/>
  <c r="A10352" i="1"/>
  <c r="A10353" i="1"/>
  <c r="B10353" i="1"/>
  <c r="A10354" i="1"/>
  <c r="A10355" i="1"/>
  <c r="B10355" i="1"/>
  <c r="A10356" i="1"/>
  <c r="B10356" i="1"/>
  <c r="A10357" i="1"/>
  <c r="B10357" i="1"/>
  <c r="A10358" i="1"/>
  <c r="B10358" i="1"/>
  <c r="A10359" i="1"/>
  <c r="A10360" i="1"/>
  <c r="B10360" i="1"/>
  <c r="A10361" i="1"/>
  <c r="B10361" i="1"/>
  <c r="A10362" i="1"/>
  <c r="B10362" i="1"/>
  <c r="A10363" i="1"/>
  <c r="B10363" i="1"/>
  <c r="A10364" i="1"/>
  <c r="B10364" i="1"/>
  <c r="A10365" i="1"/>
  <c r="B10365" i="1"/>
  <c r="A10366" i="1"/>
  <c r="B10366" i="1"/>
  <c r="A10367" i="1"/>
  <c r="B10367" i="1"/>
  <c r="A10368" i="1"/>
  <c r="B10368" i="1"/>
  <c r="A10369" i="1"/>
  <c r="B10369" i="1"/>
  <c r="A10370" i="1"/>
  <c r="A10371" i="1"/>
  <c r="A10372" i="1"/>
  <c r="B10372" i="1"/>
  <c r="A10373" i="1"/>
  <c r="B10373" i="1"/>
  <c r="A10374" i="1"/>
  <c r="B10374" i="1"/>
  <c r="A10375" i="1"/>
  <c r="B10375" i="1"/>
  <c r="A10376" i="1"/>
  <c r="B10376" i="1"/>
  <c r="A10377" i="1"/>
  <c r="A10378" i="1"/>
  <c r="B10378" i="1"/>
  <c r="A10379" i="1"/>
  <c r="B10379" i="1"/>
  <c r="A10380" i="1"/>
  <c r="B10380" i="1"/>
  <c r="A10381" i="1"/>
  <c r="B10381" i="1"/>
  <c r="A10382" i="1"/>
  <c r="B10382" i="1"/>
  <c r="A10383" i="1"/>
  <c r="B10383" i="1"/>
  <c r="A10384" i="1"/>
  <c r="B10384" i="1"/>
  <c r="A10385" i="1"/>
  <c r="A10386" i="1"/>
  <c r="A10387" i="1"/>
  <c r="B10387" i="1"/>
  <c r="A10388" i="1"/>
  <c r="B10388" i="1"/>
  <c r="A10389" i="1"/>
  <c r="B10389" i="1"/>
  <c r="A10390" i="1"/>
  <c r="A10391" i="1"/>
  <c r="B10391" i="1"/>
  <c r="A10392" i="1"/>
  <c r="B10392" i="1"/>
  <c r="A10393" i="1"/>
  <c r="B10393" i="1"/>
  <c r="A10394" i="1"/>
  <c r="B10394" i="1"/>
  <c r="A10395" i="1"/>
  <c r="B10395" i="1"/>
  <c r="A10396" i="1"/>
  <c r="B10396" i="1"/>
  <c r="A10397" i="1"/>
  <c r="A10398" i="1"/>
  <c r="A10399" i="1"/>
  <c r="B10399" i="1"/>
  <c r="A10400" i="1"/>
  <c r="B10400" i="1"/>
  <c r="A10401" i="1"/>
  <c r="A10402" i="1"/>
  <c r="A10403" i="1"/>
  <c r="A10404" i="1"/>
  <c r="B10404" i="1"/>
  <c r="A10405" i="1"/>
  <c r="B10405" i="1"/>
  <c r="A10406" i="1"/>
  <c r="B10406" i="1"/>
  <c r="A10407" i="1"/>
  <c r="B10407" i="1"/>
  <c r="A10408" i="1"/>
  <c r="B10408" i="1"/>
  <c r="A10409" i="1"/>
  <c r="B10409" i="1"/>
  <c r="A10410" i="1"/>
  <c r="B10410" i="1"/>
  <c r="A10411" i="1"/>
  <c r="B10411" i="1"/>
  <c r="A10412" i="1"/>
  <c r="B10412" i="1"/>
  <c r="A10413" i="1"/>
  <c r="B10413" i="1"/>
  <c r="A10414" i="1"/>
  <c r="B10414" i="1"/>
  <c r="A10415" i="1"/>
  <c r="B10415" i="1"/>
  <c r="A10416" i="1"/>
  <c r="B10416" i="1"/>
  <c r="A10417" i="1"/>
  <c r="B10417" i="1"/>
  <c r="A10418" i="1"/>
  <c r="B10418" i="1"/>
  <c r="A10419" i="1"/>
  <c r="B10419" i="1"/>
  <c r="A10420" i="1"/>
  <c r="A10421" i="1"/>
  <c r="A10422" i="1"/>
  <c r="B10422" i="1"/>
  <c r="A10423" i="1"/>
  <c r="B10423" i="1"/>
  <c r="A10424" i="1"/>
  <c r="B10424" i="1"/>
  <c r="A10425" i="1"/>
  <c r="A10426" i="1"/>
  <c r="B10426" i="1"/>
  <c r="A10427" i="1"/>
  <c r="B10427" i="1"/>
  <c r="A10428" i="1"/>
  <c r="B10428" i="1"/>
  <c r="A10429" i="1"/>
  <c r="B10429" i="1"/>
  <c r="A10430" i="1"/>
  <c r="B10430" i="1"/>
  <c r="A10431" i="1"/>
  <c r="B10431" i="1"/>
  <c r="A10432" i="1"/>
  <c r="B10432" i="1"/>
  <c r="A10433" i="1"/>
  <c r="B10433" i="1"/>
  <c r="A10434" i="1"/>
  <c r="A10435" i="1"/>
  <c r="A10436" i="1"/>
  <c r="A10437" i="1"/>
  <c r="A10438" i="1"/>
  <c r="A10439" i="1"/>
  <c r="B10439" i="1"/>
  <c r="A10440" i="1"/>
  <c r="A10441" i="1"/>
  <c r="B10441" i="1"/>
  <c r="A10442" i="1"/>
  <c r="B10442" i="1"/>
  <c r="A10443" i="1"/>
  <c r="B10443" i="1"/>
  <c r="A10444" i="1"/>
  <c r="B10444" i="1"/>
  <c r="A10445" i="1"/>
  <c r="B10445" i="1"/>
  <c r="A10446" i="1"/>
  <c r="A10447" i="1"/>
  <c r="B10447" i="1"/>
  <c r="A10448" i="1"/>
  <c r="A10449" i="1"/>
  <c r="B10449" i="1"/>
  <c r="A10450" i="1"/>
  <c r="B10450" i="1"/>
  <c r="A10451" i="1"/>
  <c r="B10451" i="1"/>
  <c r="A10452" i="1"/>
  <c r="B10452" i="1"/>
  <c r="A10453" i="1"/>
  <c r="B10453" i="1"/>
  <c r="A10454" i="1"/>
  <c r="A10455" i="1"/>
  <c r="B10455" i="1"/>
  <c r="A10456" i="1"/>
  <c r="B10456" i="1"/>
  <c r="A10457" i="1"/>
  <c r="B10457" i="1"/>
  <c r="A10458" i="1"/>
  <c r="B10458" i="1"/>
  <c r="A10459" i="1"/>
  <c r="B10459" i="1"/>
  <c r="A10460" i="1"/>
  <c r="B10460" i="1"/>
  <c r="A10461" i="1"/>
  <c r="B10461" i="1"/>
  <c r="A10462" i="1"/>
  <c r="B10462" i="1"/>
  <c r="A10463" i="1"/>
  <c r="B10463" i="1"/>
  <c r="A10464" i="1"/>
  <c r="B10464" i="1"/>
  <c r="A10465" i="1"/>
  <c r="B10465" i="1"/>
  <c r="A10466" i="1"/>
  <c r="B10466" i="1"/>
  <c r="A10467" i="1"/>
  <c r="B10467" i="1"/>
  <c r="A10468" i="1"/>
  <c r="B10468" i="1"/>
  <c r="A10469" i="1"/>
  <c r="B10469" i="1"/>
  <c r="A10470" i="1"/>
  <c r="B10470" i="1"/>
  <c r="A10471" i="1"/>
  <c r="B10471" i="1"/>
  <c r="A10472" i="1"/>
  <c r="A10473" i="1"/>
  <c r="B10473" i="1"/>
  <c r="A10474" i="1"/>
  <c r="B10474" i="1"/>
  <c r="A10475" i="1"/>
  <c r="B10475" i="1"/>
  <c r="A10476" i="1"/>
  <c r="B10476" i="1"/>
  <c r="A10477" i="1"/>
  <c r="B10477" i="1"/>
  <c r="A10478" i="1"/>
  <c r="B10478" i="1"/>
  <c r="A10479" i="1"/>
  <c r="B10479" i="1"/>
  <c r="A10480" i="1"/>
  <c r="B10480" i="1"/>
  <c r="A10481" i="1"/>
  <c r="A10482" i="1"/>
  <c r="B10482" i="1"/>
  <c r="A10483" i="1"/>
  <c r="B10483" i="1"/>
  <c r="A10484" i="1"/>
  <c r="A10485" i="1"/>
  <c r="B10485" i="1"/>
  <c r="A10486" i="1"/>
  <c r="B10486" i="1"/>
  <c r="A10487" i="1"/>
  <c r="B10487" i="1"/>
  <c r="A10488" i="1"/>
  <c r="B10488" i="1"/>
  <c r="A10489" i="1"/>
  <c r="B10489" i="1"/>
  <c r="A10490" i="1"/>
  <c r="B10490" i="1"/>
  <c r="A10491" i="1"/>
  <c r="B10491" i="1"/>
  <c r="A10492" i="1"/>
  <c r="A10493" i="1"/>
  <c r="B10493" i="1"/>
  <c r="A10494" i="1"/>
  <c r="B10494" i="1"/>
  <c r="A10495" i="1"/>
  <c r="B10495" i="1"/>
  <c r="A10496" i="1"/>
  <c r="B10496" i="1"/>
  <c r="A10497" i="1"/>
  <c r="B10497" i="1"/>
  <c r="A10498" i="1"/>
  <c r="B10498" i="1"/>
  <c r="A10499" i="1"/>
  <c r="A10500" i="1"/>
  <c r="A10501" i="1"/>
  <c r="B10501" i="1"/>
  <c r="A10502" i="1"/>
  <c r="B10502" i="1"/>
  <c r="A10503" i="1"/>
  <c r="B10503" i="1"/>
  <c r="A10504" i="1"/>
  <c r="B10504" i="1"/>
  <c r="A10505" i="1"/>
  <c r="B10505" i="1"/>
  <c r="A10506" i="1"/>
  <c r="B10506" i="1"/>
  <c r="A10507" i="1"/>
  <c r="A10508" i="1"/>
  <c r="A10509" i="1"/>
  <c r="B10509" i="1"/>
  <c r="A10510" i="1"/>
  <c r="B10510" i="1"/>
  <c r="A10511" i="1"/>
  <c r="B10511" i="1"/>
  <c r="A10512" i="1"/>
  <c r="A10513" i="1"/>
  <c r="A10514" i="1"/>
  <c r="A10515" i="1"/>
  <c r="B10515" i="1"/>
  <c r="A10516" i="1"/>
  <c r="B10516" i="1"/>
  <c r="A10517" i="1"/>
  <c r="B10517" i="1"/>
  <c r="A10518" i="1"/>
  <c r="B10518" i="1"/>
  <c r="A10519" i="1"/>
  <c r="B10519" i="1"/>
  <c r="A10520" i="1"/>
  <c r="B10520" i="1"/>
  <c r="A10521" i="1"/>
  <c r="B10521" i="1"/>
  <c r="A10522" i="1"/>
  <c r="A10523" i="1"/>
  <c r="A10524" i="1"/>
  <c r="B10524" i="1"/>
  <c r="A10525" i="1"/>
  <c r="B10525" i="1"/>
  <c r="A10526" i="1"/>
  <c r="B10526" i="1"/>
  <c r="A10527" i="1"/>
  <c r="B10527" i="1"/>
  <c r="A10528" i="1"/>
  <c r="B10528" i="1"/>
  <c r="A10529" i="1"/>
  <c r="B10529" i="1"/>
  <c r="A10530" i="1"/>
  <c r="B10530" i="1"/>
  <c r="A10531" i="1"/>
  <c r="B10531" i="1"/>
  <c r="A10532" i="1"/>
  <c r="B10532" i="1"/>
  <c r="A10533" i="1"/>
  <c r="A10534" i="1"/>
  <c r="B10534" i="1"/>
  <c r="A10535" i="1"/>
  <c r="B10535" i="1"/>
  <c r="A10536" i="1"/>
  <c r="B10536" i="1"/>
  <c r="A10537" i="1"/>
  <c r="B10537" i="1"/>
  <c r="A10538" i="1"/>
  <c r="B10538" i="1"/>
  <c r="A10539" i="1"/>
  <c r="A10540" i="1"/>
  <c r="B10540" i="1"/>
  <c r="A10541" i="1"/>
  <c r="B10541" i="1"/>
  <c r="A10542" i="1"/>
  <c r="B10542" i="1"/>
  <c r="A10543" i="1"/>
  <c r="A10544" i="1"/>
  <c r="B10544" i="1"/>
  <c r="A10545" i="1"/>
  <c r="B10545" i="1"/>
  <c r="A10546" i="1"/>
  <c r="B10546" i="1"/>
  <c r="A10547" i="1"/>
  <c r="B10547" i="1"/>
  <c r="A10548" i="1"/>
  <c r="B10548" i="1"/>
  <c r="A10549" i="1"/>
  <c r="B10549" i="1"/>
  <c r="A10550" i="1"/>
  <c r="B10550" i="1"/>
  <c r="A10551" i="1"/>
  <c r="B10551" i="1"/>
  <c r="A10552" i="1"/>
  <c r="B10552" i="1"/>
  <c r="A10553" i="1"/>
  <c r="B10553" i="1"/>
  <c r="A10554" i="1"/>
  <c r="A10555" i="1"/>
  <c r="A10556" i="1"/>
  <c r="A10557" i="1"/>
  <c r="A10558" i="1"/>
  <c r="A10559" i="1"/>
  <c r="A10560" i="1"/>
  <c r="A10561" i="1"/>
  <c r="A10562" i="1"/>
  <c r="A10563" i="1"/>
  <c r="A10564" i="1"/>
  <c r="A10565" i="1"/>
  <c r="A10566" i="1"/>
  <c r="B10566" i="1"/>
  <c r="A10567" i="1"/>
  <c r="B10567" i="1"/>
  <c r="A10568" i="1"/>
  <c r="A10569" i="1"/>
  <c r="B10569" i="1"/>
  <c r="A10570" i="1"/>
  <c r="B10570" i="1"/>
  <c r="A10571" i="1"/>
  <c r="B10571" i="1"/>
  <c r="A10572" i="1"/>
  <c r="B10572" i="1"/>
  <c r="A10573" i="1"/>
  <c r="B10573" i="1"/>
  <c r="A10574" i="1"/>
  <c r="B10574" i="1"/>
  <c r="A10575" i="1"/>
  <c r="B10575" i="1"/>
  <c r="A10576" i="1"/>
  <c r="B10576" i="1"/>
  <c r="A10577" i="1"/>
  <c r="B10577" i="1"/>
  <c r="A10578" i="1"/>
  <c r="B10578" i="1"/>
  <c r="A10579" i="1"/>
  <c r="B10579" i="1"/>
  <c r="A10580" i="1"/>
  <c r="B10580" i="1"/>
  <c r="A10581" i="1"/>
  <c r="B10581" i="1"/>
  <c r="A10582" i="1"/>
  <c r="B10582" i="1"/>
  <c r="A10583" i="1"/>
  <c r="B10583" i="1"/>
  <c r="A10584" i="1"/>
  <c r="B10584" i="1"/>
  <c r="A10585" i="1"/>
  <c r="B10585" i="1"/>
  <c r="A10586" i="1"/>
  <c r="B10586" i="1"/>
  <c r="A10587" i="1"/>
  <c r="A10588" i="1"/>
  <c r="B10588" i="1"/>
  <c r="A10589" i="1"/>
  <c r="B10589" i="1"/>
  <c r="A10590" i="1"/>
  <c r="B10590" i="1"/>
  <c r="A10591" i="1"/>
  <c r="A10592" i="1"/>
  <c r="B10592" i="1"/>
  <c r="A10593" i="1"/>
  <c r="B10593" i="1"/>
  <c r="A10594" i="1"/>
  <c r="B10594" i="1"/>
  <c r="A10595" i="1"/>
  <c r="B10595" i="1"/>
  <c r="A10596" i="1"/>
  <c r="B10596" i="1"/>
  <c r="A10597" i="1"/>
  <c r="B10597" i="1"/>
  <c r="A10598" i="1"/>
  <c r="B10598" i="1"/>
  <c r="A10599" i="1"/>
  <c r="B10599" i="1"/>
  <c r="A10600" i="1"/>
  <c r="B10600" i="1"/>
  <c r="A10601" i="1"/>
  <c r="B10601" i="1"/>
  <c r="A10602" i="1"/>
  <c r="B10602" i="1"/>
  <c r="A10603" i="1"/>
  <c r="B10603" i="1"/>
  <c r="A10604" i="1"/>
  <c r="B10604" i="1"/>
  <c r="A10605" i="1"/>
  <c r="B10605" i="1"/>
  <c r="A10606" i="1"/>
  <c r="B10606" i="1"/>
  <c r="A10607" i="1"/>
  <c r="B10607" i="1"/>
  <c r="A10608" i="1"/>
  <c r="B10608" i="1"/>
  <c r="A10609" i="1"/>
  <c r="B10609" i="1"/>
  <c r="A10610" i="1"/>
  <c r="B10610" i="1"/>
  <c r="A10611" i="1"/>
  <c r="B10611" i="1"/>
  <c r="A10612" i="1"/>
  <c r="B10612" i="1"/>
  <c r="A10613" i="1"/>
  <c r="B10613" i="1"/>
  <c r="A10614" i="1"/>
  <c r="B10614" i="1"/>
  <c r="A10615" i="1"/>
  <c r="B10615" i="1"/>
  <c r="A10616" i="1"/>
  <c r="A10617" i="1"/>
  <c r="B10617" i="1"/>
  <c r="A10618" i="1"/>
  <c r="B10618" i="1"/>
  <c r="A10619" i="1"/>
  <c r="B10619" i="1"/>
  <c r="A10620" i="1"/>
  <c r="B10620" i="1"/>
  <c r="A10621" i="1"/>
  <c r="B10621" i="1"/>
  <c r="A10622" i="1"/>
  <c r="B10622" i="1"/>
  <c r="A10623" i="1"/>
  <c r="B10623" i="1"/>
  <c r="A10624" i="1"/>
  <c r="A10625" i="1"/>
  <c r="B10625" i="1"/>
  <c r="A10626" i="1"/>
  <c r="B10626" i="1"/>
  <c r="A10627" i="1"/>
  <c r="B10627" i="1"/>
  <c r="A10628" i="1"/>
  <c r="B10628" i="1"/>
  <c r="A10629" i="1"/>
  <c r="B10629" i="1"/>
  <c r="A10630" i="1"/>
  <c r="B10630" i="1"/>
  <c r="A10631" i="1"/>
  <c r="B10631" i="1"/>
  <c r="A10632" i="1"/>
  <c r="B10632" i="1"/>
  <c r="A10633" i="1"/>
  <c r="B10633" i="1"/>
  <c r="A10634" i="1"/>
  <c r="B10634" i="1"/>
  <c r="A10635" i="1"/>
  <c r="B10635" i="1"/>
  <c r="A10636" i="1"/>
  <c r="B10636" i="1"/>
  <c r="A10637" i="1"/>
  <c r="B10637" i="1"/>
  <c r="A10638" i="1"/>
  <c r="B10638" i="1"/>
  <c r="A10639" i="1"/>
  <c r="B10639" i="1"/>
  <c r="A10640" i="1"/>
  <c r="B10640" i="1"/>
  <c r="A10641" i="1"/>
  <c r="B10641" i="1"/>
  <c r="A10642" i="1"/>
  <c r="B10642" i="1"/>
  <c r="A10643" i="1"/>
  <c r="B10643" i="1"/>
  <c r="A10644" i="1"/>
  <c r="B10644" i="1"/>
  <c r="A10645" i="1"/>
  <c r="B10645" i="1"/>
  <c r="A10646" i="1"/>
  <c r="B10646" i="1"/>
  <c r="A10647" i="1"/>
  <c r="B10647" i="1"/>
  <c r="A10648" i="1"/>
  <c r="B10648" i="1"/>
  <c r="A10649" i="1"/>
  <c r="B10649" i="1"/>
  <c r="A10650" i="1"/>
  <c r="B10650" i="1"/>
  <c r="A10651" i="1"/>
  <c r="A10652" i="1"/>
  <c r="B10652" i="1"/>
  <c r="A10653" i="1"/>
  <c r="B10653" i="1"/>
  <c r="A10654" i="1"/>
  <c r="B10654" i="1"/>
  <c r="A10655" i="1"/>
  <c r="B10655" i="1"/>
  <c r="A10656" i="1"/>
  <c r="B10656" i="1"/>
  <c r="A10657" i="1"/>
  <c r="B10657" i="1"/>
  <c r="A10658" i="1"/>
  <c r="B10658" i="1"/>
  <c r="A10659" i="1"/>
  <c r="B10659" i="1"/>
  <c r="A10660" i="1"/>
  <c r="B10660" i="1"/>
  <c r="A10661" i="1"/>
  <c r="B10661" i="1"/>
  <c r="A10662" i="1"/>
  <c r="A10663" i="1"/>
  <c r="B10663" i="1"/>
  <c r="A10664" i="1"/>
  <c r="A10665" i="1"/>
  <c r="A10666" i="1"/>
  <c r="B10666" i="1"/>
  <c r="A10667" i="1"/>
  <c r="A10668" i="1"/>
  <c r="A10669" i="1"/>
  <c r="B10669" i="1"/>
  <c r="A10670" i="1"/>
  <c r="B10670" i="1"/>
  <c r="A10671" i="1"/>
  <c r="A10672" i="1"/>
  <c r="B10672" i="1"/>
  <c r="A10673" i="1"/>
  <c r="B10673" i="1"/>
  <c r="A10674" i="1"/>
  <c r="A10675" i="1"/>
  <c r="B10675" i="1"/>
  <c r="A10676" i="1"/>
  <c r="A10677" i="1"/>
  <c r="B10677" i="1"/>
  <c r="A10678" i="1"/>
  <c r="B10678" i="1"/>
  <c r="A10679" i="1"/>
  <c r="B10679" i="1"/>
  <c r="A10680" i="1"/>
  <c r="B10680" i="1"/>
  <c r="A10681" i="1"/>
  <c r="A10682" i="1"/>
  <c r="A10683" i="1"/>
  <c r="A10684" i="1"/>
  <c r="A10685" i="1"/>
  <c r="A10686" i="1"/>
  <c r="B10686" i="1"/>
  <c r="A10687" i="1"/>
  <c r="B10687" i="1"/>
  <c r="A10688" i="1"/>
  <c r="B10688" i="1"/>
  <c r="A10689" i="1"/>
  <c r="B10689" i="1"/>
  <c r="A10690" i="1"/>
  <c r="B10690" i="1"/>
  <c r="A10691" i="1"/>
  <c r="B10691" i="1"/>
  <c r="A10692" i="1"/>
  <c r="B10692" i="1"/>
  <c r="A10693" i="1"/>
  <c r="A10694" i="1"/>
  <c r="B10694" i="1"/>
  <c r="A10695" i="1"/>
  <c r="B10695" i="1"/>
  <c r="A10696" i="1"/>
  <c r="B10696" i="1"/>
  <c r="A10697" i="1"/>
  <c r="B10697" i="1"/>
  <c r="A10698" i="1"/>
  <c r="B10698" i="1"/>
  <c r="A10699" i="1"/>
  <c r="B10699" i="1"/>
  <c r="A10700" i="1"/>
  <c r="B10700" i="1"/>
  <c r="A10701" i="1"/>
  <c r="A10702" i="1"/>
  <c r="A10703" i="1"/>
  <c r="A10704" i="1"/>
  <c r="B10704" i="1"/>
  <c r="A10705" i="1"/>
  <c r="A10706" i="1"/>
  <c r="B10706" i="1"/>
  <c r="A10707" i="1"/>
  <c r="A10708" i="1"/>
  <c r="A10709" i="1"/>
  <c r="B10709" i="1"/>
  <c r="A10710" i="1"/>
  <c r="A10711" i="1"/>
  <c r="B10711" i="1"/>
  <c r="A10712" i="1"/>
  <c r="B10712" i="1"/>
  <c r="A10713" i="1"/>
  <c r="B10713" i="1"/>
  <c r="A10714" i="1"/>
  <c r="B10714" i="1"/>
  <c r="A10715" i="1"/>
  <c r="A10716" i="1"/>
  <c r="A10717" i="1"/>
  <c r="B10717" i="1"/>
  <c r="A10718" i="1"/>
  <c r="B10718" i="1"/>
  <c r="A10719" i="1"/>
  <c r="B10719" i="1"/>
  <c r="A10720" i="1"/>
  <c r="B10720" i="1"/>
  <c r="A10721" i="1"/>
  <c r="B10721" i="1"/>
  <c r="A10722" i="1"/>
  <c r="A10723" i="1"/>
  <c r="B10723" i="1"/>
  <c r="A10724" i="1"/>
  <c r="B10724" i="1"/>
  <c r="A10725" i="1"/>
  <c r="B10725" i="1"/>
  <c r="A10726" i="1"/>
  <c r="B10726" i="1"/>
  <c r="A10727" i="1"/>
  <c r="B10727" i="1"/>
  <c r="A10728" i="1"/>
  <c r="B10728" i="1"/>
  <c r="A10729" i="1"/>
  <c r="B10729" i="1"/>
  <c r="A10730" i="1"/>
  <c r="B10730" i="1"/>
  <c r="A10731" i="1"/>
  <c r="B10731" i="1"/>
  <c r="A10732" i="1"/>
  <c r="B10732" i="1"/>
  <c r="A10733" i="1"/>
  <c r="B10733" i="1"/>
  <c r="A10734" i="1"/>
  <c r="A10735" i="1"/>
  <c r="B10735" i="1"/>
  <c r="A10736" i="1"/>
  <c r="B10736" i="1"/>
  <c r="A10737" i="1"/>
  <c r="B10737" i="1"/>
  <c r="A10738" i="1"/>
  <c r="B10738" i="1"/>
  <c r="A10739" i="1"/>
  <c r="A10740" i="1"/>
  <c r="B10740" i="1"/>
  <c r="A10741" i="1"/>
  <c r="B10741" i="1"/>
  <c r="A10742" i="1"/>
  <c r="B10742" i="1"/>
  <c r="A10743" i="1"/>
  <c r="B10743" i="1"/>
  <c r="A10744" i="1"/>
  <c r="B10744" i="1"/>
  <c r="A10745" i="1"/>
  <c r="B10745" i="1"/>
  <c r="A10746" i="1"/>
  <c r="B10746" i="1"/>
  <c r="A10747" i="1"/>
  <c r="A10748" i="1"/>
  <c r="A10749" i="1"/>
  <c r="A10750" i="1"/>
  <c r="B10750" i="1"/>
  <c r="A10751" i="1"/>
  <c r="B10751" i="1"/>
  <c r="A10752" i="1"/>
  <c r="B10752" i="1"/>
  <c r="A10753" i="1"/>
  <c r="B10753" i="1"/>
  <c r="A10754" i="1"/>
  <c r="B10754" i="1"/>
  <c r="A10755" i="1"/>
  <c r="B10755" i="1"/>
  <c r="A10756" i="1"/>
  <c r="B10756" i="1"/>
  <c r="A10757" i="1"/>
  <c r="B10757" i="1"/>
  <c r="A10758" i="1"/>
  <c r="A10759" i="1"/>
  <c r="B10759" i="1"/>
  <c r="A10760" i="1"/>
  <c r="B10760" i="1"/>
  <c r="A10761" i="1"/>
  <c r="B10761" i="1"/>
  <c r="A10762" i="1"/>
  <c r="B10762" i="1"/>
  <c r="A10763" i="1"/>
  <c r="B10763" i="1"/>
  <c r="A10764" i="1"/>
  <c r="B10764" i="1"/>
  <c r="A10765" i="1"/>
  <c r="B10765" i="1"/>
  <c r="A10766" i="1"/>
  <c r="B10766" i="1"/>
  <c r="A10767" i="1"/>
  <c r="A10768" i="1"/>
  <c r="A10769" i="1"/>
  <c r="A10770" i="1"/>
  <c r="B10770" i="1"/>
  <c r="A10771" i="1"/>
  <c r="B10771" i="1"/>
  <c r="A10772" i="1"/>
  <c r="B10772" i="1"/>
  <c r="A10773" i="1"/>
  <c r="A10774" i="1"/>
  <c r="A10775" i="1"/>
  <c r="B10775" i="1"/>
  <c r="A10776" i="1"/>
  <c r="A10777" i="1"/>
  <c r="B10777" i="1"/>
  <c r="A10778" i="1"/>
  <c r="B10778" i="1"/>
  <c r="A10779" i="1"/>
  <c r="B10779" i="1"/>
  <c r="A10780" i="1"/>
  <c r="A10781" i="1"/>
  <c r="A10782" i="1"/>
  <c r="B10782" i="1"/>
  <c r="A10783" i="1"/>
  <c r="B10783" i="1"/>
  <c r="A10784" i="1"/>
  <c r="B10784" i="1"/>
  <c r="A10785" i="1"/>
  <c r="B10785" i="1"/>
  <c r="A10786" i="1"/>
  <c r="A10787" i="1"/>
  <c r="A10788" i="1"/>
  <c r="B10788" i="1"/>
  <c r="A10789" i="1"/>
  <c r="B10789" i="1"/>
  <c r="A10790" i="1"/>
  <c r="B10790" i="1"/>
  <c r="A10791" i="1"/>
  <c r="B10791" i="1"/>
  <c r="A10792" i="1"/>
  <c r="A10793" i="1"/>
  <c r="B10793" i="1"/>
  <c r="A10794" i="1"/>
  <c r="B10794" i="1"/>
  <c r="A10795" i="1"/>
  <c r="B10795" i="1"/>
  <c r="A10796" i="1"/>
  <c r="B10796" i="1"/>
  <c r="A10797" i="1"/>
  <c r="B10797" i="1"/>
  <c r="A10798" i="1"/>
  <c r="B10798" i="1"/>
  <c r="A10799" i="1"/>
  <c r="A10800" i="1"/>
  <c r="B10800" i="1"/>
  <c r="A10801" i="1"/>
  <c r="B10801" i="1"/>
  <c r="A10802" i="1"/>
  <c r="A10803" i="1"/>
  <c r="B10803" i="1"/>
  <c r="A10804" i="1"/>
  <c r="B10804" i="1"/>
  <c r="A10805" i="1"/>
  <c r="B10805" i="1"/>
  <c r="A10806" i="1"/>
  <c r="B10806" i="1"/>
  <c r="A10807" i="1"/>
  <c r="A10808" i="1"/>
  <c r="A10809" i="1"/>
  <c r="B10809" i="1"/>
  <c r="A10810" i="1"/>
  <c r="B10810" i="1"/>
  <c r="A10811" i="1"/>
  <c r="B10811" i="1"/>
  <c r="A10812" i="1"/>
  <c r="B10812" i="1"/>
  <c r="A10813" i="1"/>
  <c r="B10813" i="1"/>
  <c r="A10814" i="1"/>
  <c r="B10814" i="1"/>
  <c r="A10815" i="1"/>
  <c r="B10815" i="1"/>
  <c r="A10816" i="1"/>
  <c r="B10816" i="1"/>
  <c r="A10817" i="1"/>
  <c r="B10817" i="1"/>
  <c r="A10818" i="1"/>
  <c r="B10818" i="1"/>
  <c r="A10819" i="1"/>
  <c r="B10819" i="1"/>
  <c r="A10820" i="1"/>
  <c r="B10820" i="1"/>
  <c r="A10821" i="1"/>
  <c r="B10821" i="1"/>
  <c r="A10822" i="1"/>
  <c r="B10822" i="1"/>
  <c r="A10823" i="1"/>
  <c r="B10823" i="1"/>
  <c r="A10824" i="1"/>
  <c r="B10824" i="1"/>
  <c r="A10825" i="1"/>
  <c r="B10825" i="1"/>
  <c r="A10826" i="1"/>
  <c r="B10826" i="1"/>
  <c r="A10827" i="1"/>
  <c r="B10827" i="1"/>
  <c r="A10828" i="1"/>
  <c r="B10828" i="1"/>
  <c r="A10829" i="1"/>
  <c r="B10829" i="1"/>
  <c r="A10830" i="1"/>
  <c r="B10830" i="1"/>
  <c r="A10831" i="1"/>
  <c r="B10831" i="1"/>
  <c r="A10832" i="1"/>
  <c r="B10832" i="1"/>
  <c r="A10833" i="1"/>
  <c r="B10833" i="1"/>
  <c r="A10834" i="1"/>
  <c r="B10834" i="1"/>
  <c r="A10835" i="1"/>
  <c r="B10835" i="1"/>
  <c r="A10836" i="1"/>
  <c r="B10836" i="1"/>
  <c r="A10837" i="1"/>
  <c r="A10838" i="1"/>
  <c r="B10838" i="1"/>
  <c r="A10839" i="1"/>
  <c r="B10839" i="1"/>
  <c r="A10840" i="1"/>
  <c r="B10840" i="1"/>
  <c r="A10841" i="1"/>
  <c r="B10841" i="1"/>
  <c r="A10842" i="1"/>
  <c r="B10842" i="1"/>
  <c r="A10843" i="1"/>
  <c r="B10843" i="1"/>
  <c r="A10844" i="1"/>
  <c r="B10844" i="1"/>
  <c r="A10845" i="1"/>
  <c r="B10845" i="1"/>
  <c r="A10846" i="1"/>
  <c r="B10846" i="1"/>
  <c r="A10847" i="1"/>
  <c r="B10847" i="1"/>
  <c r="A10848" i="1"/>
  <c r="A10849" i="1"/>
  <c r="B10849" i="1"/>
  <c r="A10850" i="1"/>
  <c r="B10850" i="1"/>
  <c r="A10851" i="1"/>
  <c r="B10851" i="1"/>
  <c r="A10852" i="1"/>
  <c r="B10852" i="1"/>
  <c r="A10853" i="1"/>
  <c r="B10853" i="1"/>
  <c r="A10854" i="1"/>
  <c r="B10854" i="1"/>
  <c r="A10855" i="1"/>
  <c r="B10855" i="1"/>
  <c r="A10856" i="1"/>
  <c r="B10856" i="1"/>
  <c r="A10857" i="1"/>
  <c r="B10857" i="1"/>
  <c r="A10858" i="1"/>
  <c r="B10858" i="1"/>
  <c r="A10859" i="1"/>
  <c r="B10859" i="1"/>
  <c r="A10860" i="1"/>
  <c r="B10860" i="1"/>
  <c r="A10861" i="1"/>
  <c r="B10861" i="1"/>
  <c r="A10862" i="1"/>
  <c r="A10863" i="1"/>
  <c r="A10864" i="1"/>
  <c r="B10864" i="1"/>
  <c r="A10865" i="1"/>
  <c r="B10865" i="1"/>
  <c r="A10866" i="1"/>
  <c r="B10866" i="1"/>
  <c r="A10867" i="1"/>
  <c r="B10867" i="1"/>
  <c r="A10868" i="1"/>
  <c r="B10868" i="1"/>
  <c r="A10869" i="1"/>
  <c r="A10870" i="1"/>
  <c r="B10870" i="1"/>
  <c r="A10871" i="1"/>
  <c r="B10871" i="1"/>
  <c r="A10872" i="1"/>
  <c r="B10872" i="1"/>
  <c r="A10873" i="1"/>
  <c r="B10873" i="1"/>
  <c r="A10874" i="1"/>
  <c r="B10874" i="1"/>
  <c r="A10875" i="1"/>
  <c r="A10876" i="1"/>
  <c r="B10876" i="1"/>
  <c r="A10877" i="1"/>
  <c r="B10877" i="1"/>
  <c r="A10878" i="1"/>
  <c r="B10878" i="1"/>
  <c r="A10879" i="1"/>
  <c r="B10879" i="1"/>
  <c r="A10880" i="1"/>
  <c r="B10880" i="1"/>
  <c r="A10881" i="1"/>
  <c r="A10882" i="1"/>
  <c r="B10882" i="1"/>
  <c r="A10883" i="1"/>
  <c r="A10884" i="1"/>
  <c r="B10884" i="1"/>
  <c r="A10885" i="1"/>
  <c r="A10886" i="1"/>
  <c r="A10887" i="1"/>
  <c r="B10887" i="1"/>
  <c r="A10888" i="1"/>
  <c r="B10888" i="1"/>
  <c r="A10889" i="1"/>
  <c r="B10889" i="1"/>
  <c r="A10890" i="1"/>
  <c r="B10890" i="1"/>
  <c r="A10891" i="1"/>
  <c r="A10892" i="1"/>
  <c r="A10893" i="1"/>
  <c r="B10893" i="1"/>
  <c r="A10894" i="1"/>
  <c r="B10894" i="1"/>
  <c r="A10895" i="1"/>
  <c r="A10896" i="1"/>
  <c r="A10897" i="1"/>
  <c r="B10897" i="1"/>
  <c r="A10898" i="1"/>
  <c r="B10898" i="1"/>
  <c r="A10899" i="1"/>
  <c r="A10900" i="1"/>
  <c r="B10900" i="1"/>
  <c r="A10901" i="1"/>
  <c r="B10901" i="1"/>
  <c r="A10902" i="1"/>
  <c r="B10902" i="1"/>
  <c r="A10903" i="1"/>
  <c r="B10903" i="1"/>
  <c r="A10904" i="1"/>
  <c r="B10904" i="1"/>
  <c r="A10905" i="1"/>
  <c r="B10905" i="1"/>
  <c r="A10906" i="1"/>
  <c r="B10906" i="1"/>
  <c r="A10907" i="1"/>
  <c r="B10907" i="1"/>
  <c r="A10908" i="1"/>
  <c r="A10909" i="1"/>
  <c r="B10909" i="1"/>
  <c r="A10910" i="1"/>
  <c r="A10911" i="1"/>
  <c r="B10911" i="1"/>
  <c r="A10912" i="1"/>
  <c r="B10912" i="1"/>
  <c r="A10913" i="1"/>
  <c r="B10913" i="1"/>
  <c r="A10914" i="1"/>
  <c r="B10914" i="1"/>
  <c r="A10915" i="1"/>
  <c r="B10915" i="1"/>
  <c r="A10916" i="1"/>
  <c r="B10916" i="1"/>
  <c r="A10917" i="1"/>
  <c r="A10918" i="1"/>
  <c r="B10918" i="1"/>
  <c r="A10919" i="1"/>
  <c r="B10919" i="1"/>
  <c r="A10920" i="1"/>
  <c r="B10920" i="1"/>
  <c r="A10921" i="1"/>
  <c r="B10921" i="1"/>
  <c r="A10922" i="1"/>
  <c r="B10922" i="1"/>
  <c r="A10923" i="1"/>
  <c r="B10923" i="1"/>
  <c r="A10924" i="1"/>
  <c r="B10924" i="1"/>
  <c r="A10925" i="1"/>
  <c r="B10925" i="1"/>
  <c r="A10926" i="1"/>
  <c r="B10926" i="1"/>
  <c r="A10927" i="1"/>
  <c r="B10927" i="1"/>
  <c r="A10928" i="1"/>
  <c r="B10928" i="1"/>
  <c r="A10929" i="1"/>
  <c r="B10929" i="1"/>
  <c r="A10930" i="1"/>
  <c r="B10930" i="1"/>
  <c r="A10931" i="1"/>
  <c r="B10931" i="1"/>
  <c r="A10932" i="1"/>
  <c r="B10932" i="1"/>
  <c r="A10933" i="1"/>
  <c r="B10933" i="1"/>
  <c r="A10934" i="1"/>
  <c r="B10934" i="1"/>
  <c r="A10935" i="1"/>
  <c r="B10935" i="1"/>
  <c r="A10936" i="1"/>
  <c r="B10936" i="1"/>
  <c r="A10937" i="1"/>
  <c r="A10938" i="1"/>
  <c r="B10938" i="1"/>
  <c r="A10939" i="1"/>
  <c r="B10939" i="1"/>
  <c r="A10940" i="1"/>
  <c r="A10941" i="1"/>
  <c r="A10942" i="1"/>
  <c r="B10942" i="1"/>
  <c r="A10943" i="1"/>
  <c r="B10943" i="1"/>
  <c r="A10944" i="1"/>
  <c r="B10944" i="1"/>
  <c r="A10945" i="1"/>
  <c r="A10946" i="1"/>
  <c r="B10946" i="1"/>
  <c r="A10947" i="1"/>
  <c r="B10947" i="1"/>
  <c r="A10948" i="1"/>
  <c r="B10948" i="1"/>
  <c r="A10949" i="1"/>
  <c r="B10949" i="1"/>
  <c r="A10950" i="1"/>
  <c r="B10950" i="1"/>
  <c r="A10951" i="1"/>
  <c r="B10951" i="1"/>
  <c r="A10952" i="1"/>
  <c r="B10952" i="1"/>
  <c r="A10953" i="1"/>
  <c r="A10954" i="1"/>
  <c r="B10954" i="1"/>
  <c r="A10955" i="1"/>
  <c r="B10955" i="1"/>
  <c r="A10956" i="1"/>
  <c r="B10956" i="1"/>
  <c r="A10957" i="1"/>
  <c r="B10957" i="1"/>
  <c r="A10958" i="1"/>
  <c r="B10958" i="1"/>
  <c r="A10959" i="1"/>
  <c r="B10959" i="1"/>
  <c r="A10960" i="1"/>
  <c r="B10960" i="1"/>
  <c r="A10961" i="1"/>
  <c r="B10961" i="1"/>
  <c r="A10962" i="1"/>
  <c r="B10962" i="1"/>
  <c r="A10963" i="1"/>
  <c r="B10963" i="1"/>
  <c r="A10964" i="1"/>
  <c r="B10964" i="1"/>
  <c r="A10965" i="1"/>
  <c r="B10965" i="1"/>
  <c r="A10966" i="1"/>
  <c r="B10966" i="1"/>
  <c r="A10967" i="1"/>
  <c r="B10967" i="1"/>
  <c r="A10968" i="1"/>
  <c r="A10969" i="1"/>
  <c r="B10969" i="1"/>
  <c r="A10970" i="1"/>
  <c r="B10970" i="1"/>
  <c r="A10971" i="1"/>
  <c r="B10971" i="1"/>
  <c r="A10972" i="1"/>
  <c r="B10972" i="1"/>
  <c r="A10973" i="1"/>
  <c r="B10973" i="1"/>
  <c r="A10974" i="1"/>
  <c r="B10974" i="1"/>
  <c r="A10975" i="1"/>
  <c r="A10976" i="1"/>
  <c r="B10976" i="1"/>
  <c r="A10977" i="1"/>
  <c r="B10977" i="1"/>
  <c r="A10978" i="1"/>
  <c r="B10978" i="1"/>
  <c r="A10979" i="1"/>
  <c r="B10979" i="1"/>
  <c r="A10980" i="1"/>
  <c r="B10980" i="1"/>
  <c r="A10981" i="1"/>
  <c r="A10982" i="1"/>
  <c r="B10982" i="1"/>
  <c r="A10983" i="1"/>
  <c r="B10983" i="1"/>
  <c r="A10984" i="1"/>
  <c r="B10984" i="1"/>
  <c r="A10985" i="1"/>
  <c r="B10985" i="1"/>
  <c r="A10986" i="1"/>
  <c r="B10986" i="1"/>
  <c r="A10987" i="1"/>
  <c r="A10988" i="1"/>
  <c r="B10988" i="1"/>
  <c r="A10989" i="1"/>
  <c r="B10989" i="1"/>
  <c r="A10990" i="1"/>
  <c r="B10990" i="1"/>
  <c r="A10991" i="1"/>
  <c r="B10991" i="1"/>
  <c r="A10992" i="1"/>
  <c r="B10992" i="1"/>
  <c r="A10993" i="1"/>
  <c r="B10993" i="1"/>
  <c r="A10994" i="1"/>
  <c r="B10994" i="1"/>
  <c r="A10995" i="1"/>
  <c r="B10995" i="1"/>
  <c r="A10996" i="1"/>
  <c r="B10996" i="1"/>
  <c r="A10997" i="1"/>
  <c r="B10997" i="1"/>
  <c r="A10998" i="1"/>
  <c r="B10998" i="1"/>
  <c r="A10999" i="1"/>
  <c r="B10999" i="1"/>
  <c r="A11000" i="1"/>
  <c r="B11000" i="1"/>
  <c r="A11001" i="1"/>
  <c r="A11002" i="1"/>
  <c r="B11002" i="1"/>
  <c r="A11003" i="1"/>
  <c r="B11003" i="1"/>
  <c r="A11004" i="1"/>
  <c r="B11004" i="1"/>
  <c r="A11005" i="1"/>
  <c r="B11005" i="1"/>
  <c r="A11006" i="1"/>
  <c r="B11006" i="1"/>
  <c r="A11007" i="1"/>
  <c r="A11008" i="1"/>
  <c r="B11008" i="1"/>
  <c r="A11009" i="1"/>
  <c r="B11009" i="1"/>
  <c r="A11010" i="1"/>
  <c r="B11010" i="1"/>
  <c r="A11011" i="1"/>
  <c r="A11012" i="1"/>
  <c r="A11013" i="1"/>
  <c r="B11013" i="1"/>
  <c r="A11014" i="1"/>
  <c r="B11014" i="1"/>
  <c r="A11015" i="1"/>
  <c r="B11015" i="1"/>
  <c r="A11016" i="1"/>
  <c r="B11016" i="1"/>
  <c r="A11017" i="1"/>
  <c r="B11017" i="1"/>
  <c r="A11018" i="1"/>
  <c r="B11018" i="1"/>
  <c r="A11019" i="1"/>
  <c r="A11020" i="1"/>
  <c r="B11020" i="1"/>
  <c r="A11021" i="1"/>
  <c r="B11021" i="1"/>
  <c r="A11022" i="1"/>
  <c r="A11023" i="1"/>
  <c r="B11023" i="1"/>
  <c r="A11024" i="1"/>
  <c r="B11024" i="1"/>
  <c r="A11025" i="1"/>
  <c r="B11025" i="1"/>
  <c r="A11026" i="1"/>
  <c r="B11026" i="1"/>
  <c r="A11027" i="1"/>
  <c r="B11027" i="1"/>
  <c r="A11028" i="1"/>
  <c r="B11028" i="1"/>
  <c r="A11029" i="1"/>
  <c r="A11030" i="1"/>
  <c r="B11030" i="1"/>
  <c r="A11031" i="1"/>
  <c r="A11032" i="1"/>
  <c r="B11032" i="1"/>
  <c r="A11033" i="1"/>
  <c r="A11034" i="1"/>
  <c r="B11034" i="1"/>
  <c r="A11035" i="1"/>
  <c r="A11036" i="1"/>
  <c r="B11036" i="1"/>
  <c r="A11037" i="1"/>
  <c r="B11037" i="1"/>
  <c r="A11038" i="1"/>
  <c r="B11038" i="1"/>
  <c r="A11039" i="1"/>
  <c r="B11039" i="1"/>
  <c r="A11040" i="1"/>
  <c r="B11040" i="1"/>
  <c r="A11041" i="1"/>
  <c r="A11042" i="1"/>
  <c r="B11042" i="1"/>
  <c r="A11043" i="1"/>
  <c r="B11043" i="1"/>
  <c r="A11044" i="1"/>
  <c r="B11044" i="1"/>
  <c r="A11045" i="1"/>
  <c r="B11045" i="1"/>
  <c r="A11046" i="1"/>
  <c r="B11046" i="1"/>
  <c r="A11047" i="1"/>
  <c r="B11047" i="1"/>
  <c r="A11048" i="1"/>
  <c r="B11048" i="1"/>
  <c r="A11049" i="1"/>
  <c r="B11049" i="1"/>
  <c r="A11050" i="1"/>
  <c r="B11050" i="1"/>
  <c r="A11051" i="1"/>
  <c r="B11051" i="1"/>
  <c r="A11052" i="1"/>
  <c r="A11053" i="1"/>
  <c r="B11053" i="1"/>
  <c r="A11054" i="1"/>
  <c r="A11055" i="1"/>
  <c r="A11056" i="1"/>
  <c r="A11057" i="1"/>
  <c r="A11058" i="1"/>
  <c r="B11058" i="1"/>
  <c r="A11059" i="1"/>
  <c r="B11059" i="1"/>
  <c r="A11060" i="1"/>
  <c r="B11060" i="1"/>
  <c r="A11061" i="1"/>
  <c r="A11062" i="1"/>
  <c r="A11063" i="1"/>
  <c r="A11064" i="1"/>
  <c r="B11064" i="1"/>
  <c r="A11065" i="1"/>
  <c r="B11065" i="1"/>
  <c r="A11066" i="1"/>
  <c r="A11067" i="1"/>
  <c r="A11068" i="1"/>
  <c r="A11069" i="1"/>
  <c r="B11069" i="1"/>
  <c r="A11070" i="1"/>
  <c r="B11070" i="1"/>
  <c r="A11071" i="1"/>
  <c r="B11071" i="1"/>
  <c r="A11072" i="1"/>
  <c r="B11072" i="1"/>
  <c r="A11073" i="1"/>
  <c r="B11073" i="1"/>
  <c r="A11074" i="1"/>
  <c r="B11074" i="1"/>
  <c r="A11075" i="1"/>
  <c r="A11076" i="1"/>
  <c r="A11077" i="1"/>
  <c r="B11077" i="1"/>
  <c r="A11078" i="1"/>
  <c r="B11078" i="1"/>
  <c r="A11079" i="1"/>
  <c r="B11079" i="1"/>
  <c r="A11080" i="1"/>
  <c r="B11080" i="1"/>
  <c r="A11081" i="1"/>
  <c r="B11081" i="1"/>
  <c r="A11082" i="1"/>
  <c r="A11083" i="1"/>
  <c r="A11084" i="1"/>
  <c r="A11085" i="1"/>
  <c r="B11085" i="1"/>
  <c r="A11086" i="1"/>
  <c r="A11087" i="1"/>
  <c r="B11087" i="1"/>
  <c r="A11088" i="1"/>
  <c r="B11088" i="1"/>
  <c r="A11089" i="1"/>
  <c r="B11089" i="1"/>
  <c r="A11090" i="1"/>
  <c r="B11090" i="1"/>
  <c r="A11091" i="1"/>
  <c r="B11091" i="1"/>
  <c r="A11092" i="1"/>
  <c r="A11093" i="1"/>
  <c r="A11094" i="1"/>
  <c r="A11095" i="1"/>
  <c r="B11095" i="1"/>
  <c r="A11096" i="1"/>
  <c r="B11096" i="1"/>
  <c r="A11097" i="1"/>
  <c r="B11097" i="1"/>
  <c r="A11098" i="1"/>
  <c r="A11099" i="1"/>
  <c r="A11100" i="1"/>
  <c r="B11100" i="1"/>
  <c r="A11101" i="1"/>
  <c r="B11101" i="1"/>
  <c r="A11102" i="1"/>
  <c r="B11102" i="1"/>
  <c r="A11103" i="1"/>
  <c r="A11104" i="1"/>
  <c r="B11104" i="1"/>
  <c r="A11105" i="1"/>
  <c r="B11105" i="1"/>
  <c r="A11106" i="1"/>
  <c r="B11106" i="1"/>
  <c r="A11107" i="1"/>
  <c r="B11107" i="1"/>
  <c r="A11108" i="1"/>
  <c r="A11109" i="1"/>
  <c r="B11109" i="1"/>
  <c r="A11110" i="1"/>
  <c r="B11110" i="1"/>
  <c r="A11111" i="1"/>
  <c r="B11111" i="1"/>
  <c r="A11112" i="1"/>
  <c r="B11112" i="1"/>
  <c r="A11113" i="1"/>
  <c r="B11113" i="1"/>
  <c r="A11114" i="1"/>
  <c r="B11114" i="1"/>
  <c r="A11115" i="1"/>
  <c r="B11115" i="1"/>
  <c r="A11116" i="1"/>
  <c r="B11116" i="1"/>
  <c r="A11117" i="1"/>
  <c r="B11117" i="1"/>
  <c r="A11118" i="1"/>
  <c r="B11118" i="1"/>
  <c r="A11119" i="1"/>
  <c r="A11120" i="1"/>
  <c r="B11120" i="1"/>
  <c r="A11121" i="1"/>
  <c r="B11121" i="1"/>
  <c r="A11122" i="1"/>
  <c r="B11122" i="1"/>
  <c r="A11123" i="1"/>
  <c r="B11123" i="1"/>
  <c r="A11124" i="1"/>
  <c r="B11124" i="1"/>
  <c r="A11125" i="1"/>
  <c r="B11125" i="1"/>
  <c r="A11126" i="1"/>
  <c r="B11126" i="1"/>
  <c r="A11127" i="1"/>
  <c r="B11127" i="1"/>
  <c r="A11128" i="1"/>
  <c r="B11128" i="1"/>
  <c r="A11129" i="1"/>
  <c r="B11129" i="1"/>
  <c r="A11130" i="1"/>
  <c r="B11130" i="1"/>
  <c r="A11131" i="1"/>
  <c r="B11131" i="1"/>
  <c r="A11132" i="1"/>
  <c r="B11132" i="1"/>
  <c r="A11133" i="1"/>
  <c r="B11133" i="1"/>
  <c r="A11134" i="1"/>
  <c r="B11134" i="1"/>
  <c r="A11135" i="1"/>
  <c r="B11135" i="1"/>
  <c r="A11136" i="1"/>
  <c r="B11136" i="1"/>
  <c r="A11137" i="1"/>
  <c r="A11138" i="1"/>
  <c r="B11138" i="1"/>
  <c r="A11139" i="1"/>
  <c r="B11139" i="1"/>
  <c r="A11140" i="1"/>
  <c r="B11140" i="1"/>
  <c r="A11141" i="1"/>
  <c r="B11141" i="1"/>
  <c r="A11142" i="1"/>
  <c r="B11142" i="1"/>
  <c r="A11143" i="1"/>
  <c r="B11143" i="1"/>
  <c r="A11144" i="1"/>
  <c r="A11145" i="1"/>
  <c r="B11145" i="1"/>
  <c r="A11146" i="1"/>
  <c r="B11146" i="1"/>
  <c r="A11147" i="1"/>
  <c r="B11147" i="1"/>
  <c r="A11148" i="1"/>
  <c r="B11148" i="1"/>
  <c r="A11149" i="1"/>
  <c r="B11149" i="1"/>
  <c r="A11150" i="1"/>
  <c r="B11150" i="1"/>
  <c r="A11151" i="1"/>
  <c r="B11151" i="1"/>
  <c r="A11152" i="1"/>
  <c r="B11152" i="1"/>
  <c r="A11153" i="1"/>
  <c r="B11153" i="1"/>
  <c r="A11154" i="1"/>
  <c r="B11154" i="1"/>
  <c r="A11155" i="1"/>
  <c r="B11155" i="1"/>
  <c r="A11156" i="1"/>
  <c r="A11157" i="1"/>
  <c r="B11157" i="1"/>
  <c r="A11158" i="1"/>
  <c r="B11158" i="1"/>
  <c r="A11159" i="1"/>
  <c r="B11159" i="1"/>
  <c r="A11160" i="1"/>
  <c r="B11160" i="1"/>
  <c r="A11161" i="1"/>
  <c r="B11161" i="1"/>
  <c r="A11162" i="1"/>
  <c r="B11162" i="1"/>
  <c r="A11163" i="1"/>
  <c r="B11163" i="1"/>
  <c r="A11164" i="1"/>
  <c r="B11164" i="1"/>
  <c r="A11165" i="1"/>
  <c r="B11165" i="1"/>
  <c r="A11166" i="1"/>
  <c r="B11166" i="1"/>
  <c r="A11167" i="1"/>
  <c r="B11167" i="1"/>
  <c r="A11168" i="1"/>
  <c r="B11168" i="1"/>
  <c r="A11169" i="1"/>
  <c r="B11169" i="1"/>
  <c r="A11170" i="1"/>
  <c r="B11170" i="1"/>
  <c r="A11171" i="1"/>
  <c r="B11171" i="1"/>
  <c r="A11172" i="1"/>
  <c r="B11172" i="1"/>
  <c r="A11173" i="1"/>
  <c r="B11173" i="1"/>
  <c r="A11174" i="1"/>
  <c r="A11175" i="1"/>
  <c r="B11175" i="1"/>
  <c r="A11176" i="1"/>
  <c r="B11176" i="1"/>
  <c r="A11177" i="1"/>
  <c r="B11177" i="1"/>
  <c r="A11178" i="1"/>
  <c r="B11178" i="1"/>
  <c r="A11179" i="1"/>
  <c r="B11179" i="1"/>
  <c r="A11180" i="1"/>
  <c r="B11180" i="1"/>
  <c r="A11181" i="1"/>
  <c r="B11181" i="1"/>
  <c r="A11182" i="1"/>
  <c r="A11183" i="1"/>
  <c r="B11183" i="1"/>
  <c r="A11184" i="1"/>
  <c r="B11184" i="1"/>
  <c r="A11185" i="1"/>
  <c r="B11185" i="1"/>
  <c r="A11186" i="1"/>
  <c r="B11186" i="1"/>
  <c r="A11187" i="1"/>
  <c r="B11187" i="1"/>
  <c r="A11188" i="1"/>
  <c r="B11188" i="1"/>
  <c r="A11189" i="1"/>
  <c r="B11189" i="1"/>
  <c r="A11190" i="1"/>
  <c r="B11190" i="1"/>
  <c r="A11191" i="1"/>
  <c r="B11191" i="1"/>
  <c r="A11192" i="1"/>
  <c r="B11192" i="1"/>
  <c r="A11193" i="1"/>
  <c r="B11193" i="1"/>
  <c r="A11194" i="1"/>
  <c r="A11195" i="1"/>
  <c r="B11195" i="1"/>
  <c r="A11196" i="1"/>
  <c r="B11196" i="1"/>
  <c r="A11197" i="1"/>
  <c r="B11197" i="1"/>
  <c r="A11198" i="1"/>
  <c r="B11198" i="1"/>
  <c r="A11199" i="1"/>
  <c r="B11199" i="1"/>
  <c r="A11200" i="1"/>
  <c r="A11201" i="1"/>
  <c r="B11201" i="1"/>
  <c r="A11202" i="1"/>
  <c r="A11203" i="1"/>
  <c r="B11203" i="1"/>
  <c r="A11204" i="1"/>
  <c r="B11204" i="1"/>
  <c r="A11205" i="1"/>
  <c r="A11206" i="1"/>
  <c r="B11206" i="1"/>
  <c r="A11207" i="1"/>
  <c r="B11207" i="1"/>
  <c r="A11208" i="1"/>
  <c r="B11208" i="1"/>
  <c r="A11209" i="1"/>
  <c r="B11209" i="1"/>
  <c r="A11210" i="1"/>
  <c r="B11210" i="1"/>
  <c r="A11211" i="1"/>
  <c r="B11211" i="1"/>
  <c r="A11212" i="1"/>
  <c r="A11213" i="1"/>
  <c r="B11213" i="1"/>
  <c r="A11214" i="1"/>
  <c r="B11214" i="1"/>
  <c r="A11215" i="1"/>
  <c r="B11215" i="1"/>
  <c r="A11216" i="1"/>
  <c r="A11217" i="1"/>
  <c r="B11217" i="1"/>
  <c r="A11218" i="1"/>
  <c r="B11218" i="1"/>
  <c r="A11219" i="1"/>
  <c r="B11219" i="1"/>
  <c r="A11220" i="1"/>
  <c r="B11220" i="1"/>
  <c r="A11221" i="1"/>
  <c r="B11221" i="1"/>
  <c r="A11222" i="1"/>
  <c r="B11222" i="1"/>
  <c r="A11223" i="1"/>
  <c r="A11224" i="1"/>
  <c r="B11224" i="1"/>
  <c r="A11225" i="1"/>
  <c r="B11225" i="1"/>
  <c r="A11226" i="1"/>
  <c r="B11226" i="1"/>
  <c r="A11227" i="1"/>
  <c r="B11227" i="1"/>
  <c r="A11228" i="1"/>
  <c r="B11228" i="1"/>
  <c r="A11229" i="1"/>
  <c r="B11229" i="1"/>
  <c r="A11230" i="1"/>
  <c r="B11230" i="1"/>
  <c r="A11231" i="1"/>
  <c r="B11231" i="1"/>
  <c r="A11232" i="1"/>
  <c r="A11233" i="1"/>
  <c r="A11234" i="1"/>
  <c r="A11235" i="1"/>
  <c r="A11236" i="1"/>
  <c r="A11237" i="1"/>
  <c r="A11238" i="1"/>
  <c r="A11239" i="1"/>
  <c r="A11240" i="1"/>
  <c r="A11241" i="1"/>
  <c r="A11242" i="1"/>
  <c r="B11242" i="1"/>
  <c r="A11243" i="1"/>
  <c r="B11243" i="1"/>
  <c r="A11244" i="1"/>
  <c r="A11245" i="1"/>
  <c r="A11246" i="1"/>
  <c r="B11246" i="1"/>
  <c r="A11247" i="1"/>
  <c r="B11247" i="1"/>
  <c r="A11248" i="1"/>
  <c r="B11248" i="1"/>
  <c r="A11249" i="1"/>
  <c r="B11249" i="1"/>
  <c r="A11250" i="1"/>
  <c r="B11250" i="1"/>
  <c r="A11251" i="1"/>
  <c r="B11251" i="1"/>
  <c r="A11252" i="1"/>
  <c r="B11252" i="1"/>
  <c r="A11253" i="1"/>
  <c r="B11253" i="1"/>
  <c r="A11254" i="1"/>
  <c r="B11254" i="1"/>
  <c r="A11255" i="1"/>
  <c r="B11255" i="1"/>
  <c r="A11256" i="1"/>
  <c r="B11256" i="1"/>
  <c r="A11257" i="1"/>
  <c r="B11257" i="1"/>
  <c r="A11258" i="1"/>
  <c r="B11258" i="1"/>
  <c r="A11259" i="1"/>
  <c r="B11259" i="1"/>
  <c r="A11260" i="1"/>
  <c r="B11260" i="1"/>
  <c r="A11261" i="1"/>
  <c r="A11262" i="1"/>
  <c r="B11262" i="1"/>
  <c r="A11263" i="1"/>
  <c r="B11263" i="1"/>
  <c r="A11264" i="1"/>
  <c r="B11264" i="1"/>
  <c r="A11265" i="1"/>
  <c r="B11265" i="1"/>
  <c r="A11266" i="1"/>
  <c r="B11266" i="1"/>
  <c r="A11267" i="1"/>
  <c r="A11268" i="1"/>
  <c r="B11268" i="1"/>
  <c r="A11269" i="1"/>
  <c r="B11269" i="1"/>
  <c r="A11270" i="1"/>
  <c r="B11270" i="1"/>
  <c r="A11271" i="1"/>
  <c r="B11271" i="1"/>
  <c r="A11272" i="1"/>
  <c r="B11272" i="1"/>
  <c r="A11273" i="1"/>
  <c r="A11274" i="1"/>
  <c r="B11274" i="1"/>
  <c r="A11275" i="1"/>
  <c r="A11276" i="1"/>
  <c r="B11276" i="1"/>
  <c r="A11277" i="1"/>
  <c r="B11277" i="1"/>
  <c r="A11278" i="1"/>
  <c r="B11278" i="1"/>
  <c r="A11279" i="1"/>
  <c r="B11279" i="1"/>
  <c r="A11280" i="1"/>
  <c r="B11280" i="1"/>
  <c r="A11281" i="1"/>
  <c r="B11281" i="1"/>
  <c r="A11282" i="1"/>
  <c r="B11282" i="1"/>
  <c r="A11283" i="1"/>
  <c r="B11283" i="1"/>
  <c r="A11284" i="1"/>
  <c r="B11284" i="1"/>
  <c r="A11285" i="1"/>
  <c r="A11286" i="1"/>
  <c r="B11286" i="1"/>
  <c r="A11287" i="1"/>
  <c r="B11287" i="1"/>
  <c r="A11288" i="1"/>
  <c r="B11288" i="1"/>
  <c r="A11289" i="1"/>
  <c r="B11289" i="1"/>
  <c r="A11290" i="1"/>
  <c r="A11291" i="1"/>
  <c r="B11291" i="1"/>
  <c r="A11292" i="1"/>
  <c r="B11292" i="1"/>
  <c r="A11293" i="1"/>
  <c r="B11293" i="1"/>
  <c r="A11294" i="1"/>
  <c r="B11294" i="1"/>
  <c r="A11295" i="1"/>
  <c r="B11295" i="1"/>
  <c r="A11296" i="1"/>
  <c r="B11296" i="1"/>
  <c r="A11297" i="1"/>
  <c r="B11297" i="1"/>
  <c r="A11298" i="1"/>
  <c r="A11299" i="1"/>
  <c r="B11299" i="1"/>
  <c r="A11300" i="1"/>
  <c r="B11300" i="1"/>
  <c r="A11301" i="1"/>
  <c r="B11301" i="1"/>
  <c r="A11302" i="1"/>
  <c r="A11303" i="1"/>
  <c r="B11303" i="1"/>
  <c r="A11304" i="1"/>
  <c r="B11304" i="1"/>
  <c r="A11305" i="1"/>
  <c r="A11306" i="1"/>
  <c r="B11306" i="1"/>
  <c r="A11307" i="1"/>
  <c r="B11307" i="1"/>
  <c r="A11308" i="1"/>
  <c r="B11308" i="1"/>
  <c r="A11309" i="1"/>
  <c r="B11309" i="1"/>
  <c r="A11310" i="1"/>
  <c r="B11310" i="1"/>
  <c r="A11311" i="1"/>
  <c r="B11311" i="1"/>
  <c r="A11312" i="1"/>
  <c r="B11312" i="1"/>
  <c r="A11313" i="1"/>
  <c r="B11313" i="1"/>
  <c r="A11314" i="1"/>
  <c r="B11314" i="1"/>
  <c r="A11315" i="1"/>
  <c r="B11315" i="1"/>
  <c r="A11316" i="1"/>
  <c r="B11316" i="1"/>
  <c r="A11317" i="1"/>
  <c r="B11317" i="1"/>
  <c r="A11318" i="1"/>
  <c r="B11318" i="1"/>
  <c r="A11319" i="1"/>
  <c r="A11320" i="1"/>
  <c r="B11320" i="1"/>
  <c r="A11321" i="1"/>
  <c r="B11321" i="1"/>
  <c r="A11322" i="1"/>
  <c r="B11322" i="1"/>
  <c r="A11323" i="1"/>
  <c r="B11323" i="1"/>
  <c r="A11324" i="1"/>
  <c r="A11325" i="1"/>
  <c r="B11325" i="1"/>
  <c r="A11326" i="1"/>
  <c r="B11326" i="1"/>
  <c r="A11327" i="1"/>
  <c r="B11327" i="1"/>
  <c r="A11328" i="1"/>
  <c r="B11328" i="1"/>
  <c r="A11329" i="1"/>
  <c r="B11329" i="1"/>
  <c r="A11330" i="1"/>
  <c r="B11330" i="1"/>
  <c r="A11331" i="1"/>
  <c r="B11331" i="1"/>
  <c r="A11332" i="1"/>
  <c r="B11332" i="1"/>
  <c r="A11333" i="1"/>
  <c r="B11333" i="1"/>
  <c r="A11334" i="1"/>
  <c r="B11334" i="1"/>
  <c r="A11335" i="1"/>
  <c r="B11335" i="1"/>
  <c r="A11336" i="1"/>
  <c r="B11336" i="1"/>
  <c r="A11337" i="1"/>
  <c r="B11337" i="1"/>
  <c r="A11338" i="1"/>
  <c r="A11339" i="1"/>
  <c r="B11339" i="1"/>
  <c r="A11340" i="1"/>
  <c r="B11340" i="1"/>
  <c r="A11341" i="1"/>
  <c r="B11341" i="1"/>
  <c r="A11342" i="1"/>
  <c r="B11342" i="1"/>
  <c r="A11343" i="1"/>
  <c r="B11343" i="1"/>
  <c r="A11344" i="1"/>
  <c r="B11344" i="1"/>
  <c r="A11345" i="1"/>
  <c r="B11345" i="1"/>
  <c r="A11346" i="1"/>
  <c r="B11346" i="1"/>
  <c r="A11347" i="1"/>
  <c r="B11347" i="1"/>
  <c r="A11348" i="1"/>
  <c r="B11348" i="1"/>
  <c r="A11349" i="1"/>
  <c r="B11349" i="1"/>
  <c r="A11350" i="1"/>
  <c r="B11350" i="1"/>
  <c r="A11351" i="1"/>
  <c r="B11351" i="1"/>
  <c r="A11352" i="1"/>
  <c r="A11353" i="1"/>
  <c r="B11353" i="1"/>
  <c r="A11354" i="1"/>
  <c r="B11354" i="1"/>
  <c r="A11355" i="1"/>
  <c r="B11355" i="1"/>
  <c r="A11356" i="1"/>
  <c r="B11356" i="1"/>
  <c r="A11357" i="1"/>
  <c r="B11357" i="1"/>
  <c r="A11358" i="1"/>
  <c r="A11359" i="1"/>
  <c r="B11359" i="1"/>
  <c r="A11360" i="1"/>
  <c r="B11360" i="1"/>
  <c r="A11361" i="1"/>
  <c r="B11361" i="1"/>
  <c r="A11362" i="1"/>
  <c r="B11362" i="1"/>
  <c r="A11363" i="1"/>
  <c r="B11363" i="1"/>
  <c r="A11364" i="1"/>
  <c r="A11365" i="1"/>
  <c r="B11365" i="1"/>
  <c r="A11366" i="1"/>
  <c r="B11366" i="1"/>
  <c r="A11367" i="1"/>
  <c r="A11368" i="1"/>
  <c r="B11368" i="1"/>
  <c r="A11369" i="1"/>
  <c r="B11369" i="1"/>
  <c r="A11370" i="1"/>
  <c r="B11370" i="1"/>
  <c r="A11371" i="1"/>
  <c r="A11372" i="1"/>
  <c r="B11372" i="1"/>
  <c r="A11373" i="1"/>
  <c r="A11374" i="1"/>
  <c r="B11374" i="1"/>
  <c r="A11375" i="1"/>
  <c r="B11375" i="1"/>
  <c r="A11376" i="1"/>
  <c r="B11376" i="1"/>
  <c r="A11377" i="1"/>
  <c r="B11377" i="1"/>
  <c r="A11378" i="1"/>
  <c r="A11379" i="1"/>
  <c r="A11380" i="1"/>
  <c r="B11380" i="1"/>
  <c r="A11381" i="1"/>
  <c r="B11381" i="1"/>
  <c r="A11382" i="1"/>
  <c r="B11382" i="1"/>
  <c r="A11383" i="1"/>
  <c r="A11384" i="1"/>
  <c r="B11384" i="1"/>
  <c r="A11385" i="1"/>
  <c r="B11385" i="1"/>
  <c r="A11386" i="1"/>
  <c r="B11386" i="1"/>
  <c r="A11387" i="1"/>
  <c r="A11388" i="1"/>
  <c r="B11388" i="1"/>
  <c r="A11389" i="1"/>
  <c r="B11389" i="1"/>
  <c r="A11390" i="1"/>
  <c r="B11390" i="1"/>
  <c r="A11391" i="1"/>
  <c r="A11392" i="1"/>
  <c r="B11392" i="1"/>
  <c r="A11393" i="1"/>
  <c r="B11393" i="1"/>
  <c r="A11394" i="1"/>
  <c r="A11395" i="1"/>
  <c r="B11395" i="1"/>
  <c r="A11396" i="1"/>
  <c r="A11397" i="1"/>
  <c r="A11398" i="1"/>
  <c r="B11398" i="1"/>
  <c r="A11399" i="1"/>
  <c r="A11400" i="1"/>
  <c r="A11401" i="1"/>
  <c r="A11402" i="1"/>
  <c r="B11402" i="1"/>
  <c r="A11403" i="1"/>
  <c r="B11403" i="1"/>
  <c r="A11404" i="1"/>
  <c r="B11404" i="1"/>
  <c r="A11405" i="1"/>
  <c r="B11405" i="1"/>
  <c r="A11406" i="1"/>
  <c r="B11406" i="1"/>
  <c r="A11407" i="1"/>
  <c r="A11408" i="1"/>
  <c r="B11408" i="1"/>
  <c r="A11409" i="1"/>
  <c r="A11410" i="1"/>
  <c r="A11411" i="1"/>
  <c r="B11411" i="1"/>
  <c r="A11412" i="1"/>
  <c r="B11412" i="1"/>
  <c r="A11413" i="1"/>
  <c r="B11413" i="1"/>
  <c r="A11414" i="1"/>
  <c r="B11414" i="1"/>
  <c r="A11415" i="1"/>
  <c r="B11415" i="1"/>
  <c r="A11416" i="1"/>
  <c r="B11416" i="1"/>
  <c r="A11417" i="1"/>
  <c r="B11417" i="1"/>
  <c r="A11418" i="1"/>
  <c r="B11418" i="1"/>
  <c r="A11419" i="1"/>
  <c r="B11419" i="1"/>
  <c r="A11420" i="1"/>
  <c r="B11420" i="1"/>
  <c r="A11421" i="1"/>
  <c r="B11421" i="1"/>
  <c r="A11422" i="1"/>
  <c r="A11423" i="1"/>
  <c r="A11424" i="1"/>
  <c r="B11424" i="1"/>
  <c r="A11425" i="1"/>
  <c r="B11425" i="1"/>
  <c r="A11426" i="1"/>
  <c r="B11426" i="1"/>
  <c r="A11427" i="1"/>
  <c r="B11427" i="1"/>
  <c r="A11428" i="1"/>
  <c r="B11428" i="1"/>
  <c r="A11429" i="1"/>
  <c r="B11429" i="1"/>
  <c r="A11430" i="1"/>
  <c r="B11430" i="1"/>
  <c r="A11431" i="1"/>
  <c r="B11431" i="1"/>
  <c r="A11432" i="1"/>
  <c r="B11432" i="1"/>
  <c r="A11433" i="1"/>
  <c r="B11433" i="1"/>
  <c r="A11434" i="1"/>
  <c r="B11434" i="1"/>
  <c r="A11435" i="1"/>
  <c r="B11435" i="1"/>
  <c r="A11436" i="1"/>
  <c r="B11436" i="1"/>
  <c r="A11437" i="1"/>
  <c r="B11437" i="1"/>
  <c r="A11438" i="1"/>
  <c r="A11439" i="1"/>
  <c r="B11439" i="1"/>
  <c r="A11440" i="1"/>
  <c r="B11440" i="1"/>
  <c r="A11441" i="1"/>
  <c r="B11441" i="1"/>
  <c r="A11442" i="1"/>
  <c r="B11442" i="1"/>
  <c r="A11443" i="1"/>
  <c r="B11443" i="1"/>
  <c r="A11444" i="1"/>
  <c r="A11445" i="1"/>
  <c r="B11445" i="1"/>
  <c r="A11446" i="1"/>
  <c r="B11446" i="1"/>
  <c r="A11447" i="1"/>
  <c r="B11447" i="1"/>
  <c r="A11448" i="1"/>
  <c r="B11448" i="1"/>
  <c r="A11449" i="1"/>
  <c r="B11449" i="1"/>
  <c r="A11450" i="1"/>
  <c r="B11450" i="1"/>
  <c r="A11451" i="1"/>
  <c r="B11451" i="1"/>
  <c r="A11452" i="1"/>
  <c r="B11452" i="1"/>
  <c r="A11453" i="1"/>
  <c r="B11453" i="1"/>
  <c r="A11454" i="1"/>
  <c r="B11454" i="1"/>
  <c r="A11455" i="1"/>
  <c r="B11455" i="1"/>
  <c r="A11456" i="1"/>
  <c r="B11456" i="1"/>
  <c r="A11457" i="1"/>
  <c r="B11457" i="1"/>
  <c r="A11458" i="1"/>
  <c r="B11458" i="1"/>
  <c r="A11459" i="1"/>
  <c r="B11459" i="1"/>
  <c r="A11460" i="1"/>
  <c r="B11460" i="1"/>
  <c r="A11461" i="1"/>
  <c r="B11461" i="1"/>
  <c r="A11462" i="1"/>
  <c r="B11462" i="1"/>
  <c r="A11463" i="1"/>
  <c r="A11464" i="1"/>
  <c r="B11464" i="1"/>
  <c r="A11465" i="1"/>
  <c r="B11465" i="1"/>
  <c r="A11466" i="1"/>
  <c r="B11466" i="1"/>
  <c r="A11467" i="1"/>
  <c r="B11467" i="1"/>
  <c r="A11468" i="1"/>
  <c r="B11468" i="1"/>
  <c r="A11469" i="1"/>
  <c r="B11469" i="1"/>
  <c r="A11470" i="1"/>
  <c r="A11471" i="1"/>
  <c r="A11472" i="1"/>
  <c r="B11472" i="1"/>
  <c r="A11473" i="1"/>
  <c r="B11473" i="1"/>
  <c r="A11474" i="1"/>
  <c r="A11475" i="1"/>
  <c r="B11475" i="1"/>
  <c r="A11476" i="1"/>
  <c r="B11476" i="1"/>
  <c r="A11477" i="1"/>
  <c r="B11477" i="1"/>
  <c r="A11478" i="1"/>
  <c r="B11478" i="1"/>
  <c r="A11479" i="1"/>
  <c r="B11479" i="1"/>
  <c r="A11480" i="1"/>
  <c r="B11480" i="1"/>
  <c r="A11481" i="1"/>
  <c r="B11481" i="1"/>
  <c r="A11482" i="1"/>
  <c r="B11482" i="1"/>
  <c r="A11483" i="1"/>
  <c r="B11483" i="1"/>
  <c r="A11484" i="1"/>
  <c r="B11484" i="1"/>
  <c r="A11485" i="1"/>
  <c r="B11485" i="1"/>
  <c r="A11486" i="1"/>
  <c r="A11487" i="1"/>
  <c r="B11487" i="1"/>
  <c r="A11488" i="1"/>
  <c r="B11488" i="1"/>
  <c r="A11489" i="1"/>
  <c r="B11489" i="1"/>
  <c r="A11490" i="1"/>
  <c r="B11490" i="1"/>
  <c r="A11491" i="1"/>
  <c r="B11491" i="1"/>
  <c r="A11492" i="1"/>
  <c r="A11493" i="1"/>
  <c r="A11494" i="1"/>
  <c r="A11495" i="1"/>
  <c r="A11496" i="1"/>
  <c r="B11496" i="1"/>
  <c r="A11497" i="1"/>
  <c r="B11497" i="1"/>
  <c r="A11498" i="1"/>
  <c r="B11498" i="1"/>
  <c r="A11499" i="1"/>
  <c r="B11499" i="1"/>
  <c r="A11500" i="1"/>
  <c r="A11501" i="1"/>
  <c r="B11501" i="1"/>
  <c r="A11502" i="1"/>
  <c r="B11502" i="1"/>
  <c r="A11503" i="1"/>
  <c r="B11503" i="1"/>
  <c r="A11504" i="1"/>
  <c r="A11505" i="1"/>
  <c r="B11505" i="1"/>
  <c r="A11506" i="1"/>
  <c r="A11507" i="1"/>
  <c r="A11508" i="1"/>
  <c r="A11509" i="1"/>
  <c r="B11509" i="1"/>
  <c r="A11510" i="1"/>
  <c r="B11510" i="1"/>
  <c r="A11511" i="1"/>
  <c r="B11511" i="1"/>
  <c r="A11512" i="1"/>
  <c r="B11512" i="1"/>
  <c r="A11513" i="1"/>
  <c r="A11514" i="1"/>
  <c r="B11514" i="1"/>
  <c r="A11515" i="1"/>
  <c r="B11515" i="1"/>
  <c r="A11516" i="1"/>
  <c r="B11516" i="1"/>
  <c r="A11517" i="1"/>
  <c r="A11518" i="1"/>
  <c r="B11518" i="1"/>
  <c r="A11519" i="1"/>
  <c r="B11519" i="1"/>
  <c r="A11520" i="1"/>
  <c r="B11520" i="1"/>
  <c r="A11521" i="1"/>
  <c r="B11521" i="1"/>
  <c r="A11522" i="1"/>
  <c r="B11522" i="1"/>
  <c r="A11523" i="1"/>
  <c r="A11524" i="1"/>
  <c r="B11524" i="1"/>
  <c r="A11525" i="1"/>
  <c r="B11525" i="1"/>
  <c r="A11526" i="1"/>
  <c r="B11526" i="1"/>
  <c r="A11527" i="1"/>
  <c r="B11527" i="1"/>
  <c r="A11528" i="1"/>
  <c r="B11528" i="1"/>
  <c r="A11529" i="1"/>
  <c r="B11529" i="1"/>
  <c r="A11530" i="1"/>
  <c r="B11530" i="1"/>
  <c r="A11531" i="1"/>
  <c r="B11531" i="1"/>
  <c r="A11532" i="1"/>
  <c r="B11532" i="1"/>
  <c r="A11533" i="1"/>
  <c r="B11533" i="1"/>
  <c r="A11534" i="1"/>
  <c r="B11534" i="1"/>
  <c r="A11535" i="1"/>
  <c r="B11535" i="1"/>
  <c r="A11536" i="1"/>
  <c r="A11537" i="1"/>
  <c r="B11537" i="1"/>
  <c r="A11538" i="1"/>
  <c r="B11538" i="1"/>
  <c r="A11539" i="1"/>
  <c r="B11539" i="1"/>
  <c r="A11540" i="1"/>
  <c r="B11540" i="1"/>
  <c r="A11541" i="1"/>
  <c r="A11542" i="1"/>
  <c r="A11543" i="1"/>
  <c r="A11544" i="1"/>
  <c r="A11545" i="1"/>
  <c r="A11546" i="1"/>
  <c r="B11546" i="1"/>
  <c r="A11547" i="1"/>
  <c r="B11547" i="1"/>
  <c r="A11548" i="1"/>
  <c r="B11548" i="1"/>
  <c r="A11549" i="1"/>
  <c r="B11549" i="1"/>
  <c r="A11550" i="1"/>
  <c r="B11550" i="1"/>
  <c r="A11551" i="1"/>
  <c r="B11551" i="1"/>
  <c r="A11552" i="1"/>
  <c r="B11552" i="1"/>
  <c r="A11553" i="1"/>
  <c r="B11553" i="1"/>
  <c r="A11554" i="1"/>
  <c r="B11554" i="1"/>
  <c r="A11555" i="1"/>
  <c r="A11556" i="1"/>
  <c r="B11556" i="1"/>
  <c r="A11557" i="1"/>
  <c r="B11557" i="1"/>
  <c r="A11558" i="1"/>
  <c r="B11558" i="1"/>
  <c r="A11559" i="1"/>
  <c r="A11560" i="1"/>
  <c r="B11560" i="1"/>
  <c r="A11561" i="1"/>
  <c r="B11561" i="1"/>
</calcChain>
</file>

<file path=xl/sharedStrings.xml><?xml version="1.0" encoding="utf-8"?>
<sst xmlns="http://schemas.openxmlformats.org/spreadsheetml/2006/main" count="2642" uniqueCount="520">
  <si>
    <t>Produced:</t>
  </si>
  <si>
    <t>Mois(C):</t>
  </si>
  <si>
    <t>Annee(C):</t>
  </si>
  <si>
    <t>BUREAU(C):</t>
  </si>
  <si>
    <t>SYSCOM(C):</t>
  </si>
  <si>
    <t>FLUX(C):</t>
  </si>
  <si>
    <t>PROVDEST(C):</t>
  </si>
  <si>
    <t>PARTENAIRE(B):</t>
  </si>
  <si>
    <t>Y Axis (1)</t>
  </si>
  <si>
    <t>PRODUIT(B):</t>
  </si>
  <si>
    <t>Y Axis (2)</t>
  </si>
  <si>
    <t>INDICATORS(B):</t>
  </si>
  <si>
    <t>X Axis (1)</t>
  </si>
  <si>
    <t>=t("   Viandes et abats comestibles de pigeons, de phoques, de gibier, de rennes et d'autres espèces animales, frais, réfrigérés ou congelés (à l'excl. des viandes et abats d'animaux des espèces bovine, porcine, ovine, caprine, chevaline, asine ou mulassi</t>
  </si>
  <si>
    <t>=t("   VIANDES ET ABATS COMESTIBLES, SALÉS OU EN SAUMURE, SÉCHÉS OU FUMÉS, ET FARINES ET POUDRES COMESTIBLES DE VIANDES ET D'ABATS (À L'EXCL. DES VIANDES DES ESPÈCES PORCINE ET BOVINE AINSI QUE DES VIANDES ET ABATS COMESTIBLES DE PRIMATES, DE BALEINES, DE</t>
  </si>
  <si>
    <t>=t("   POISSONS, VIVANTS (À L'EXCL. DES POISSONS D'ORNEMENT, DES TRUITES [SALMO TRUTTA, ONCORHYNCHUS MYKISS, ONCORHYNCHUS CLARKI, ONCORHYNCHUS AGUABONITA, ONCORHYNCHUS GILAE, ONCORHYNCHUS APACHE ET ONCORHYNCHUS CHRYSOGASTER], DES ANGUILLES [ANGUILLA SPP.]</t>
  </si>
  <si>
    <t>=t("   Poissons de mer et d'eau douce, comestibles, frais ou réfrigérés (à l'excl. des salmonidés, des poissons plats, des thons, des listaos ou bonites à ventre rayé, des harengs, des morues, des sardines, des sardinelles, des sprats ou esprots, des égle</t>
  </si>
  <si>
    <t>=t("   POISSONS D'EAU DOUCE ET DE MER, COMESTIBLES, CONGELÉS (À L'EXCL. DES SALMONIDÉS, DES POISSONS PLATS, DES THONS, DES LISTAOS OU BONITES À VENTRE RAYÉ, DES HARENGS, DES MORUES, DES ESPADONS, DES LÉGINES, DES SARDINES, DES SARDINELLES, DES SPRATS OU E</t>
  </si>
  <si>
    <t>=t("   FROMAGES (À L'EXCL. DES FROMAGES FRAIS [NON-AFFINÉS], Y.C. LE FROMAGE DE LACTOSÉRUM, DE LA CAILLEBOTTE, DES FROMAGES FONDUS, DES FROMAGES À PÂTE PERSILLÉE ET AUTRES FROMAGES PRÉSENTANT DES MARBRURES OBTENUES EN UTILISANT DU 'PENICILLIUM ROQUEFORTI'</t>
  </si>
  <si>
    <t>=t("   Légumes, à l'état frais ou réfrigéré (sauf pommes de terre, tomates, légumes alliacés, choux du genre Brassica, laitues [Lactuca sativa] et chicorées [Cichorium spp.], carottes, navets, betteraves à salade, salsifis, céleris, radis et racines comes</t>
  </si>
  <si>
    <t>=t("   LÉGUMES ET MÉLANGES DE LÉGUMES, CONSERVÉS PROVISOIREMENT [P.EX. AU MOYEN DE GAZ SULFUREUX OU DANS DE L'EAU SALÉE, SOUFRÉE OU ADDITIONNÉE D'AUTRES SUBSTANCES SERVANT À ASSURER PROVISOIREMENT LEUR CONSERVATION], MAIS IMPROPRES À L'ALIMENTATION EN L'É</t>
  </si>
  <si>
    <t>=t("   Citrons "Citrus limon, Citrus limonum" et limes "Citrus aurantifolia, Citrus latifolia", frais ou secs")</t>
  </si>
  <si>
    <t>=t("   AGRUMES, FRAIS OU SECS (À L'EXCL. DES ORANGES, DES CITRONS 'CITRUS LIMON, CITRUS LIMONUM', DES LIMES 'CITRUS AURANTIFOLIA, CITRUS LATIFOLIA', DES PAMPLEMOUSSES, DES POMÉLOS, DES MANDARINES - Y.C. LES TANGERINES ET LES SATSUMAS -, DES CLÉMENTINES, D</t>
  </si>
  <si>
    <t>=t("   Tamarins, pommes de cajou, fruits du jaquier [pain des singes], litchis, sapotilles, fruits de la passion, caramboles, pitahayas et autres fruits comestibles frais (sauf fruits à coque, bananes, dattes, figues, ananas, avocats, goyaves, mangues, ma</t>
  </si>
  <si>
    <t xml:space="preserve">=t("   FRUITS COMESTIBLES, NON-CUITS OU CUITS À L'EAU OU À LA VAPEUR, CONGELÉS, MÊME ADDITIONNÉS DE SUCRE OU D'AUTRES ÉDULCORANTS (À L'EXCL. DES FRAISES, DES FRAMBOISES, DES MÛRES DE RONCE OU DE MÛRIER, DES MÛRES-FRAMBOISES ET DES GROSEILLES À GRAPPES OU </t>
  </si>
  <si>
    <t>=t("   THÉ NOIR [FERMENTÉ] ET THÉ PARTIELLEMENT FERMENTÉ, MÊME AROMATISÉS, PRÉSENTÉS EN EMBALLAGES IMMÉDIATS D'UN CONTENU &lt;= 3 KG [01/01/1988-31/12/1991: THÉ NOIR [THÉ FERMENTE], ET THÉ PARTIELLEMENT FERMENTE, PRESENTES EN EMBALLAGES IMMEDIATS D'UN CONTEN</t>
  </si>
  <si>
    <t>=t("   THÉ NOIR [FERMENTÉ] ET THÉ PARTIELLEMENT FERMENTÉ, MÊME AROMATISÉS, PRÉSENTÉS EN EMBALLAGES IMMÉDIATS D'UN CONTENU &gt; 3 KG [01/01/1988-31/12/1991: THÉ NOIR [THÉ FERMENTE], ET THÉ PARTIELLEMENT FERMENTE, PRESENTES EN EMBALLAGES IMMEDIATS D'UN CONTENU</t>
  </si>
  <si>
    <t>=t("   ÉPICES (SAUF POIVRE [DU GENRE PIPER], PIMENTS DU GENRE CAPSICUM OU DU GENRE PIMENTA, VANILLE, CANNELLE ET FLEURS DE CANNELIER, GIROFLES [ANTOFLES, CLOUS ET GRIFFES], NOIX DE MUSCADE, MACIS, AMOMES ET CARDAMOMES, GRAINES D'ANIS, DE BADIANE, DE FENOU</t>
  </si>
  <si>
    <t>=t("   Farines, semoules et poudres des produits du chapitre 8 "Fruits comestibles, écorces d'agrumes ou de melons"")</t>
  </si>
  <si>
    <t>=t("   GRAINES ET FRUITS OLÉAGINEUX, MÊME CONCASSÉS (À L'EXCL. DES FRUITS À COQUE COMESTIBLES, DES OLIVES, DES FÈVES DE SOJA, DES ARACHIDES, DU COPRAH ET DES GRAINES DE LIN, DE NAVETTE, DE COLZA, DE TOURNESOL, DE COTON, DE SÉSAME, DE MOUTARDE, D'OEILLETTE</t>
  </si>
  <si>
    <t>=t("   Graines, fruits et spores à ensemencer (à l'excl. des légumes à cosse, du maïs doux, café, thé, maté, des épices, céréales, graines et fruits oléagineux, betteraves, plantes fourragères, graines de légumes ainsi que des graines de plantes herbacées</t>
  </si>
  <si>
    <t>=t("   PLANTES, PARTIES DE PLANTES, GRAINES ET FRUITS DES ESPÈCES UTILISÉES PRINCIPALEMENT EN PARFUMERIE, EN MÉDECINE OU À USAGES INSECTICIDES, PARASITICIDES OU SIMIL., FRAIS OU SECS, MÊME COUPÉS, CONCASSÉS OU PULVÉRISÉS (À L'EXCL. DES RACINES DE GINSENG,</t>
  </si>
  <si>
    <t>=t("   Rutabagas, betteraves fourragères, racines fourragères, foin, luzerne, trèfle, sainfoin, choux fourragers, lupin, vesces et produits fourragers simil., même agglomérés sous forme de pellets (à l'excl. de la farine et des agglomérés sous forme de pe</t>
  </si>
  <si>
    <t>=t("   Huiles et leurs fractions, obtenues exclusivement à partir d'olives et par des procédés autres que ceux mentionnés au n° 1509, même raffinées, mais non chimiquement modifiées et mélanges de ces huiles ou fractions avec des huiles ou fractions du n°</t>
  </si>
  <si>
    <t>=t("   Huiles de navette ou de colza à faible teneur en acide érucique "huiles fixes dont la teneur en acide érucique est &lt; 2%" et leurs fractions, même raffinées, mais non chimiquement modifiées (à l'excl. des huiles brutes)")</t>
  </si>
  <si>
    <t>=t("   Graisses et huiles végétales et leurs fractions, fixes, même raffinées, mais non chimiquement modifiées (à l'excl. des huiles de soja, d'arachide, d'olive, de palme, de tournesol, de carthame, de coton, de coco [coprah], de palmiste, de babassu, de</t>
  </si>
  <si>
    <t xml:space="preserve">=t("   Mélanges ou préparations alimentaires de graisses ou huiles animales ou végétales ou de fractions comestibles de différentes graisses ou huiles (sauf graisses et huiles et leurs fractions, partiellement ou totalement hydrogénées, interestérifiées, </t>
  </si>
  <si>
    <t>=t("   GRAISSES ET HUILES ANIMALES OU VÉGÉTALES ET LEURS FRACTIONS, CUITES, OXYDÉES, DÉSHYDRATÉES, SULFURÉES, SOUFFLÉES, STANDOLISÉES OU AUTREMENT MODIFIÉES CHIMIQUEMENT; MÉLANGES OU PRÉPARATIONS NON-ALIMENTAIRES DE GRAISSES OU D'HUILES ANIMALES OU VÉGÉTA</t>
  </si>
  <si>
    <t>=t("   Préparations et conserves de viande ou d'abats de dinde des espèces domestiques (à l'excl. des saucisses, saucissons et produits simil., des préparations finement homogénéisées, conditionnées pour la vente au détail comme aliments pour enfants ou p</t>
  </si>
  <si>
    <t>=t("   Préparations et conserves de viande ou d'abats de coqs et de poules [des espèces domestiques] (à l'excl. des saucisses, saucissons et produits simil., des préparations finement homogénéisées, conditionnées pour la vente au détail comme aliments pou</t>
  </si>
  <si>
    <t>=t("   Préparations et conserves de viande ou d'abats de canard, d'oie et de pintade [des espèces domestiques] (à l'excl. des saucisses, saucissons et produits simil., des préparations finement homogénéisées, conditionnées pour la vente au détail comme al</t>
  </si>
  <si>
    <t xml:space="preserve">=t("   Préparations et conserves de viande ou d'abats d'animaux de l'espèce porcine, y.c. les mélanges (à l'excl. des préparations et conserves constituées uniquement de jambons et de morceaux de jambon ou d'épaule et de morceaux d'épaule, des saucisses, </t>
  </si>
  <si>
    <t xml:space="preserve">=t("   Préparations et conserves de viande ou d'abats d'animaux de l'espèce bovine (à l'excl. des saucisses, saucissons et produits simil., des préparations finement homogénéisées, conditionnées pour la vente au détail comme aliments pour enfants ou pour </t>
  </si>
  <si>
    <t>=t("   Préparations et conserves à base de viande, d'abats ou de sang (à l'excl. des préparations et conserves de viande ou d'abats de volailles, de porcins et de bovins, des saucisses, saucissons et produits simil., des préparations finement homogénéisée</t>
  </si>
  <si>
    <t>=t("   Préparations et conserves de poissons entiers ou en morceaux (à l'excl. des préparations et conserves de poissons hachés, de saumons, de harengs, de sardines, de sardinelles, de sprats ou esprots, de thons, de listaos, de bonites 'Sarda spp.', de m</t>
  </si>
  <si>
    <t>=t("   Sucres, y.c. le sucre inverti [ou interverti] et le maltose chimiquement pur, à l'état solide, sucres et sirops de sucres contenant en poids à l'état sec 50% de fructose, sans addition d'aromatisants ou de colorants, succédanés du miel, même mélang</t>
  </si>
  <si>
    <t>=t("   Chocolat et autres préparations alimentaires contenant du cacao, présentés soit en blocs ou en barres d'un poids &gt; 2 kg, soit à l'état liquide ou pâteux ou en poudres, granulés ou formes simil., en récipients ou en emballages immédiats, d'un conten</t>
  </si>
  <si>
    <t>=t("   Préparations alimentaires de farines, gruaux, semoules, amidons, fécules ou extraits de malt, ne contenant pas de cacao ou contenant &lt; 40% en poids de cacao calculés sur une base entièrement dégraissée, n.d.a.; préparations alimentaires à base de l</t>
  </si>
  <si>
    <t>=t("   Mélanges et pâtes à base de farines, gruaux, semoules, amidons, fécules ou extraits de malt, ne contenant pas de cacao ou contenant &lt; 40% en poids de cacao calculés sur une base entièrement dégraissée, n.d.a.; mélanges et pâtes à base de lait, de c</t>
  </si>
  <si>
    <t>=t("   Extraits de malt; préparations alimentaires de farines, gruaux, semoules, amidons, fécules ou extraits de malt, ne contenant pas de cacao ou contenant &lt; 40% en poids de cacao calculés sur une base entièrement dégraissée, n.d.a.; préparations alimen</t>
  </si>
  <si>
    <t>=t("   Céréales (à l'excl. du maïs) en grains ou sous forme de flocons ou de grains autrement travaillés, précuites ou autrement préparées, n.d.a. (à l'excl. de la farine, du gruau et de la semoule, des préparations alimentaires à base de flocons de céréa</t>
  </si>
  <si>
    <t>=t("   Produits de la boulangerie, pâtisserie ou biscuiterie, même additionnés de cacao, hosties, cachets vides des types utilisés pour médicaments, pains à cacheter, pâtes séchées de farine, d'amidon ou de fécule en feuilles et produits simil. (sauf pain</t>
  </si>
  <si>
    <t>=t("   LÉGUMES ET MÉLANGES DE LÉGUMES, PRÉPARÉS OU CONSERVÉS AUTREMENT QU'AU VINAIGRE OU À L'ACIDE ACÉTIQUE, NON-CONGELÉS (À L'EXCL. DES LÉGUMES CONFITS AU SUCRE, DES LÉGUMES HOMOGÉNÉISÉS DU N° 2005.10, AINSI QUE DES TOMATES, DES CHAMPIGNONS, DES TRUFFES,</t>
  </si>
  <si>
    <t>=t("   Confitures, gelées, marmelades, purées et pâtes de fruits, obtenues par cuisson, avec ou sans addition de sucre ou d'autres édulcorants, présentées sous la forme de préparations finement homogénéisées, conditionnées pour la vente au détail comme al</t>
  </si>
  <si>
    <t xml:space="preserve">=t("   Confitures, gelées, marmelades, purées et pâtes de fruits, obtenues par cuisson, avec ou sans addition de sucre ou d'autres édulcorants (à l'excl. des préparations homogénéisées du n° 2007.10 ainsi que des confitures, gelées, marmelades, purées et </t>
  </si>
  <si>
    <t>=t("   FRUITS À COQUE ET AUTRES GRAINES, Y.C. LES MÉLANGES, PRÉPARÉS OU CONSERVÉS (SAUF PRÉPARÉS OU CONSERVÉS AU VINAIGRE OU À L'ACIDE ACÉTIQUE, CONFITS AU SUCRE MAIS NON-CONSERVÉS DANS DU SIROP ET À L'EXCL. DES CONFITURES, GELÉES DE FRUITS, MARMELADES, P</t>
  </si>
  <si>
    <t>=t("   PÊCHES - Y.C. LES BRUGNONS ET NECTARINES -, PRÉPARÉES OU CONSERVÉES, AVEC OU SANS ADDITION DE SUCRE OU D'AUTRES ÉDULCORANTS OU D'ALCOOL (SAUF CONFITES AU SUCRE MAIS NON-CONSERVÉES DANS DU SIROP ET À L'EXCL. DES CONFITURES, GELÉES DE FRUITS, MARMELA</t>
  </si>
  <si>
    <t>=t("   Mélanges de fruits ou d'autres parties comestibles de plantes, préparés ou conservés, avec ou sans addition de sucre ou d'autres édulcorants ou d'alcool (à l'excl. des mélanges de fruits à coque, d'arachides et d'autres graines, des préparations du</t>
  </si>
  <si>
    <t>=t("   FRUITS ET AUTRES PARTIES COMESTIBLES DE PLANTES, PRÉPARÉS OU CONSERVÉS, AVEC OU SANS ADDITION DE SUCRE OU D'AUTRES ÉDULCORANTS OU D'ALCOOL (SAUF PRÉPARÉS OU CONSERVÉS AU VINAIGRE OU À L'ACIDE ACÉTIQUE, CONFITS AU SUCRE MAIS NON-CONSERVÉS DANS DU SI</t>
  </si>
  <si>
    <t>=t("   Préparations alimentaires composites homogénéisées consistant en un mélange finement homogénéisé de plusieurs substances de base, telles que viande, poisson, légumes, fruits, conditionnées pour la vente au détail comme aliments pour enfants ou pour</t>
  </si>
  <si>
    <t>=t("   CIDRE, POIRÉ, HYDROMEL ET AUTRES BOISSONS FERMENTÉES; MÉLANGES DE BOISSONS FERMENTÉES ET MÉLANGES DE BOISSONS FERMENTÉES ET DE BOISSONS NON-ALCOOLIQUES, N.D.A. (À L'EXCL. DE LA BIÈRE, DES VINS DE RAISINS FRAIS, DES MOÛTS DE RAISINS AINSI QUE DES VE</t>
  </si>
  <si>
    <t>=t("   ALCOOL ÉTHYLIQUE D'UN TITRE ALCOOMÉTRIQUE VOLUMIQUE &lt; 80% VOL, NON-DÉNATURÉ; EAUX-DE-VIE ET AUTRES BOISSONS SPIRITUEUSES (À L'EXCL. DES EAUX-DE-VIE DE VIN OU DE MARC DE RAISINS, DES WHISKIES, DU RHUM ET AUTRES EAUX-DE-VIE PROVENANT DE LA DISTILLATI</t>
  </si>
  <si>
    <t>=t("   Tabac à mâcher, tabac à priser et autres tabacs et succédanés de tabac, fabriqués, et poudre, extraits et sauces de tabac (sauf cigares, y.c. ceux à bouts coupés, cigarillos, cigarettes, tabac à fumer, même contenant des succédanés de tabac en tout</t>
  </si>
  <si>
    <t>=t("   SEL, Y.C. LE SEL PRÉPARÉ POUR LA TABLE ET LE SEL DÉNATURÉ, ET CHLORURE DE SODIUM PUR, MÊME EN SOLUTION AQUEUSE OU ADDITIONNÉS D'AGENTS ANTIAGGLOMÉRANTS OU D'AGENTS ASSURANT UNE BONNE FLUIDITÉ; EAU DE MER [01/01/1988-31/12/1991: SEL, Y.C. LE SEL PRE</t>
  </si>
  <si>
    <t>=t("   HUILES ET AUTRES PRODUITS PROVENANT DE LA DISTILLATION DES GOUDRONS DE HOUILLE DE HAUTE TEMPÉRATURE ET PRODUITS ANALOGUES DANS LESQUELS LES CONSTITUANTS AROMATIQUES PRÉDOMINENT EN POIDS PAR RAPPORT AUX CONSTITUANTS NON-AROMATIQUES (SAUF LES PRODUIT</t>
  </si>
  <si>
    <t>=t("   CARBONATES ET PEROXOCARBONATES [PERCARBONATES]; CARBONATES D'AMMONIUM - Y.C. LE CARBONATE D'AMMONIUM DU COMMERCE CONTENANT DU CARBAMATE D'AMMONIUM (À L'EXCL. DE L'HYDROGÉNOCARBONATE [BICARBONATE] DE SODIUM, DES CARBONATES DE DISODIUM, DE POTASSIUM,</t>
  </si>
  <si>
    <t>=t("   DÉRIVÉS HALOGÉNÉS DES HYDROCARBURES AROMATIQUES (À L'EXCL. DU CHLOROBENZÈNE, DU O-DICHLOROBENZÈNE, DU P-DICHLOROBENZÈNE, DE L'HEXACHLOROBENZÈNE [ISO] ET DU DDT [ISO] [CLOFÉNOTANE [DCI], "1,1,1-TRICHLORO-2,2-BIS(P-CHLORO-PHÉNYL)ÉTHANE")")</t>
  </si>
  <si>
    <t xml:space="preserve">=t("   Monoalcools acycliques saturés (à l'excl. du méthanol [alcool méthylique], du propane-1-ol [alcool propylique], du propane-2-ol [alcool isopropylique], des butanols, du pentanol [alcool amylique] et ses isomères, de l'octanol [alcool octylique] et </t>
  </si>
  <si>
    <t>=t("   ACIDES MONOCARBOXYLIQUES ACYCLIQUES SATURÉS, ANHYDRIDES, HALOGÉNURES, PEROXYDES, PEROXYACIDES ET DÉRIVÉS HALOGÉNÉS, SULFONÉS, NITRÉS OU NITROSÉS (À L'EXCL. DES ACIDES FORMIQUE, ACÉTIQUE, MONO- OU TRICHLOROACÉTIQUES, PROPIONIQUE, BUTANOÏQUES, PENTAN</t>
  </si>
  <si>
    <t>=t("   Acides monocarboxyliques aromatiques, leurs anhydrides, halogénures, peroxydes, peroxyacides et leurs dérivés halogénés, sulfonés, nitrés ou nitrosés (à l'excl. des acides benzoïque ou phénylacétique et des sels et esters de ces produits ainsi qu'à</t>
  </si>
  <si>
    <t>=t("   Acides polycarboxyliques aromatiques, leurs anhydrides, halogénures, peroxydes, peroxyacides et leurs dérivés halogénés, sulfonés, nitrés ou nitrosés (à l'excl. des esters de l'acide orthophtalique, de l'anhydride phtalique, de l'acide téréphtaliqu</t>
  </si>
  <si>
    <t>=t("   Acides carboxyliques contenant des fonctions oxygénées supplémentaires, leurs anhydrides, halogénures, peroxydes, peroxyacides et leurs dérivés halogénés, sulfonés, nitrés ou nitrosés (à l'excl. des acides contenant uniquement la fonction alcool, p</t>
  </si>
  <si>
    <t>=t("   Alprazolam [DCI], camazépam [DCI], chlordiazépoxide [DCI], clonazépam [DCI], clorazépate, délorazépam [DCI], diazépam [DCI], estazolam [DCI], fludiazépam [DCI], flunitrazépam [DCI], flurazépam [DCI], halazépam [DCI], loflazépate d'éthyle [DCI], lor</t>
  </si>
  <si>
    <t>=t("   Composés hétérocycliques à hétéroatome[s] d'azote exclusivement (à l'excl. des composés comportant une structure à cycles quinoléine ou isoquinoléine, hydrogénés ou non, sans autres condensations ainsi que des composés dont la structure comporte un</t>
  </si>
  <si>
    <t>=t("   Médicaments contenant des antibiotiques, non présentés sous forme de doses, ni conditionnés pour la vente au détail (à l'excl. des médicaments contenant des pénicillines ou des dérivés de ces produits, à structure d'acide pénicillanique, ou des str</t>
  </si>
  <si>
    <t>=t("   Médicaments constitués par des produits mélangés entre eux, préparés à des fins thérapeutiques ou prophylactiques, mais ni présentés sous forme de doses, ni conditionnés pour la vente au détail (sauf produits du n° 3002, 3005 ou 3006, médicaments c</t>
  </si>
  <si>
    <t>=t("   Médicaments contenant des pénicillines ou des dérivés de ces produits, à structure d'acide pénicillanique, ou des streptomycines ou des dérivés de ces produits, présentés sous forme de doses [y.c. ceux destinés à être administrés par voie percutané</t>
  </si>
  <si>
    <t>=t("   Médicaments contenant des antibiotiques, présentés sous forme de doses [y.c. ceux destinés à être administrés par voie percutanée] ou conditionnés pour la vente au détail (à l'excl. des produits contenant des pénicillines ou des dérivés de ces prod</t>
  </si>
  <si>
    <t>=t("   Médicaments contenant des hormones ou des stéroïdes utilisés comme hormones, mais ne contenant pas d'antibiotiques, présentés sous forme de doses [y.c. ceux destinés à être administrés par voie percutanée] ou conditionnés pour la vente au détail (à</t>
  </si>
  <si>
    <t>=t("   Médicaments contenant des provitamines, des vitamines, y.c. les concentrats naturels, ou des dérivés de ces produits utilisés principalement en tant que vitamines, présentés sous forme de doses [y.c. ceux destinés à être administrés par voie percut</t>
  </si>
  <si>
    <t>=t("   Médicaments constitués par des produits mélangés ou non, préparés à des fins thérapeutiques ou prophylactiques, présentés sous forme de doses [y.c. ceux destinés à être administrés par voie percutanée] ou conditionnés pour la vente au détail (à l'e</t>
  </si>
  <si>
    <t>=t("   OUATES, GAZES, BANDES ET ARTICLES ANALOGUES [PANSEMENTS, SPARADRAPS, SINAPISMES, P.EX.], IMPRÉGNÉS OU RECOUVERTS DE SUBSTANCES PHARMACEUTIQUES OU CONDITIONNÉS POUR LA VENTE AU DÉTAIL À DES FINS MÉDICALES, CHIRURGICALES, DENTAIRES OU VÉTÉRINAIRES (À</t>
  </si>
  <si>
    <t>=t("   CATGUTS STÉRILES, LIGATURES STÉRILES SIMIL. POUR SUTURES CHIRURGICALES, Y.C. FILS RÉSORBABLES STÉRILES POUR LA CHIRURGIE OU L'ART DENTAIRE, ET ADHÉSIFS STÉRILES POUR TISSUS ORGANIQUES UTILISÉS EN CHIRURGIE POUR REFERMER LES PLAIES; LAMINAIRES STÉRI</t>
  </si>
  <si>
    <t xml:space="preserve">=t("   Préparations présentées sous forme de gel conçues pour être utilisées en médecine humaine ou vétérinaire comme lubrifiant pour certaines parties du corps lors des opérations chirurgicales ou des examens médicaux ou comme agent de couplage entre le </t>
  </si>
  <si>
    <t>=t("   Engrais d'origine animale ou végétale, même mélangés entre eux ou traités chimiquement; engrais résultant du mélange ou du traitement chimique de produits d'origine animale ou végétale (à l'excl. des produits présentés soit en tablettes ou formes s</t>
  </si>
  <si>
    <t>=t("   Engrais minéraux ou chimiques contenant les deux éléments fertilisants : azote et potassium ou ne contenant qu'un seul élément fertilisant principal, y.c. les mélanges d'engrais d'origine animale ou végétale avec des engrais chimiques ou minéraux (</t>
  </si>
  <si>
    <t>=t("   Matières colorantes d'origine végétale ou animale, y.c. les extraits tinctoriaux (sauf les noirs d'origine animale), même de constitution chimique définie; préparations à base de matières colorantes d'origine végétale ou animale ou bien destinées à</t>
  </si>
  <si>
    <t>=t("   Colorants organiques synthétiques dispersés; préparations à base de colorants organiques synthétiques dispersés, des types utilisés pour colorer toute matière ou bien destinées à entrer comme ingrédients dans la fabrication de préparations colorant</t>
  </si>
  <si>
    <t>=t("   Colorants organiques synthétiques basiques; préparations à base de colorants organiques synthétiques basiques, des types utilisés pour colorer toute matière ou bien destinées à entrer comme ingrédients dans la fabrication de préparations colorantes</t>
  </si>
  <si>
    <t>=t("   Colorants organiques synthétiques réactifs; préparations à base de colorants organiques synthétiques réactifs, des types utilisés pour colorer toute matière ou bien destinées à entrer comme ingrédients dans la fabrication de préparations colorantes</t>
  </si>
  <si>
    <t>=t("   Colorants organiques synthétiques pigmentaires; préparations à base de colorants organiques synthétiques pigmentaires, des types utilisés pour colorer toute matière ou bien destinées à entrer comme ingrédients dans la fabrication de préparations co</t>
  </si>
  <si>
    <t>=t("   Matières colorantes organiques synthétiques (sauf colorants dispersés, acides, à mordants, basiques, directs, de cuve, réactifs et pigmentaires); préparations à base de matières colorantes organiques synthétiques ou bien destinées à entrer comme in</t>
  </si>
  <si>
    <t>=t("   Laques colorantes (à l'excl. des laques de Chine ou du Japon et des peintures laquées); préparations à base de laques colorantes, des types utilisés pour colorer toute matière ou bien destinées à entrer comme ingrédients dans la fabrication de prép</t>
  </si>
  <si>
    <t>=t("   Pigments et préparations à base de dioxyde de titane, contenant en poids &gt;= 80% de dioxyde de titane calculé sur matière sèche, des types utilisés pour colorer toute matière ou bien destinés à entrer comme ingrédients dans la fabrication de prépara</t>
  </si>
  <si>
    <t>=t("   Pigments et préparations à base de composés du chrome, des types utilisés pour colorer toute matière ou bien destinés à entrer comme ingrédients dans la fabrication de préparations colorantes (à l'excl. des préparations du n° 3207, 3208, 3209, 3210</t>
  </si>
  <si>
    <t>=t("   Matières colorantes inorganiques ou minérales, n.d.a.; préparations à base de matières colorantes inorganiques ou minérales, des types utilisés pour colorer toute matière ou bien destinées à entrer comme ingrédients dans la fabrication de préparati</t>
  </si>
  <si>
    <t>=t("   PEINTURES ET VERNIS À BASE DE POLYMÈRES ACRYLIQUES OU VINYLIQUES, DISPERSÉS OU DISSOUS DANS UN MILIEU NON-AQUEUX, ET PRODUITS À BASE DE POLYMÈRES ACRYLIQUES OU VINYLIQUES EN SOLUTION DANS DES SOLVANTS ORGANIQUES VOLATILS, POUR AUTANT QUE LA PROPORT</t>
  </si>
  <si>
    <t xml:space="preserve">=t("   PEINTURES ET VERNIS À BASE DE POLYMÈRES SYNTHÉTIQUES OU DE POLYMÈRES NATURELS MODIFIÉS, DISPERSÉS OU DISSOUS DANS UN MILIEU NON-AQUEUX; PRODUITS VISÉS DANS LE LIBELLÉ DU N° 3901 À 3913 EN SOLUTION DANS DES SOLVANTS ORGANIQUES VOLATILS, POUR AUTANT </t>
  </si>
  <si>
    <t>=t("   PIGMENTS, Y.C. LES POUDRES ET FLOCONS MÉTALLIQUES, DISPERSÉS DANS DES MILIEUX NON-AQUEUX, SOUS FORME DE LIQUIDE OU DE PÂTE, DES TYPES UTILISÉS POUR LA FABRICATION DE PEINTURES; TEINTURES ET AUTRES MATIÈRES COLORANTES, N.D.A., PRÉSENTÉES DANS DES FO</t>
  </si>
  <si>
    <t xml:space="preserve">=t("   Oléorésines d'extraction; solutions concentrées d'huiles essentielles dans les graisses, les huiles fixes, les cires ou matières analogues, obtenues par enfleurage ou macération; sous-produits terpéniques résiduaires de la déterpénation des huiles </t>
  </si>
  <si>
    <t>=t("   Mélanges de substances odoriférantes et mélanges, y.c. les solutions alcooliques, à base d'une ou de plusieurs de ces substances, des types utilisés comme matières de base pour l'industrie (à l'excl. des mélanges des types utilisés pour les industr</t>
  </si>
  <si>
    <t>=t("   Produits de beauté ou de maquillage préparés et préparations pour l'entretien ou les soins de la peau, y.c. les préparations antisolaires et les préparations pour bronzer (à l'excl. des médicaments, des produits de maquillage pour les lèvres ou les</t>
  </si>
  <si>
    <t>=t("   Savons, produits et préparations organiques tensio-actifs à usage de savon, en barres, en pains, en morceaux ou en sujets frappés, et papier, ouates, feutres et nontissés, imprégnés, enduits ou recouverts de savon ou de détergents, pour la toilette</t>
  </si>
  <si>
    <t>=t("   Savons, produits et préparations organiques tensio-actifs à usage de savon, en barres, en pains, en morceaux ou en sujets frappés, et papier, ouates, feutres et nontissés, imprégnés, enduits ou recouverts de savon ou de détergents (à l'excl. des pr</t>
  </si>
  <si>
    <t>=t("   Préparations tensio-actives, préparations pour lessives, préparations auxiliaires de lavage et préparations de nettoyage, conditionnées pour la vente au détail (à l'excl. des agents de surface organiques, des savons et des préparations organiques t</t>
  </si>
  <si>
    <t>=t("   Préparations tensio-actives, préparations pour lessives, préparations auxiliaires de lavage et préparations de nettoyage (à l'excl. des préparations conditionnées pour la vente au détail, des agents de surface organiques, des savons et des préparat</t>
  </si>
  <si>
    <t>=t("   Préparations lubrifiantes, y.c. huiles de coupe, préparations pour le dégrippage des écrous, préparations antirouille ou anticorrosion, préparations pour le démoulage, à base de lubrifiants, contenant des huiles de pétrole ou de minéraux bitumineux</t>
  </si>
  <si>
    <t>=t("   Préparations lubrifiantes, y.c. les huiles de coupe, les préparations pour le dégrippage des écrous, les préparations antirouille ou anticorrosion et les préparations pour le démoulage, à base de lubrifiants, ne contenant pas d'huiles de pétrole ou</t>
  </si>
  <si>
    <t>=t("   CIRES ARTIFICIELLES ET CIRES PRÉPARÉES (À L'EXCL. DES CIRES DE LIGNITE MODIFIÉ CHIMIQUEMENT ET DES CIRES DE POLY"OXYÉTHYLÈNE" [POLYÉTHYLÈNEGLYCOLS])")</t>
  </si>
  <si>
    <t>=t("   Cirages, crèmes et préparations simil. pour l'entretien des chaussures ou du cuir, même sous forme de papier, ouates, feutres, nontissés, matière plastique ou caoutchouc alvéolaires, imprégnés, enduits ou recouverts de ces préparations (à l'excl. d</t>
  </si>
  <si>
    <t>=t("   Encaustiques et préparations simil. pour l'entretien des meubles en bois, des parquets ou d'autres boiseries, même sous forme de papier, ouates, feutres, nontissés, matière plastique ou caoutchouc alvéolaires, imprégnés, enduits ou recouverts de ce</t>
  </si>
  <si>
    <t>=t("   Brillants et préparations simil. pour carrosseries, même sous forme de papier, ouates, feutres, nontissés, matière plastique ou caoutchouc alvéolaires, imprégnés, enduits ou recouverts de ces préparations (à l'excl. des brillants pour métaux et des</t>
  </si>
  <si>
    <t>=t("   Ferrocérium et autres alliages pyrophoriques sous toutes formes; métaldéhyde, hexaméthylènetétramine et produits simil., présentés en tablettes, bâtonnets ou sous des formes simil. impliquant leur utilisation comme combustibles; combustibles à base</t>
  </si>
  <si>
    <t>=t("   Plaques et films plans, photographiques, sensibilisés, non impressionnés, pour la photographie en couleurs [polychrome], en autres matières que le papier, le carton ou les textiles (à l'excl. des films à développement et tirage instantanés ainsi qu</t>
  </si>
  <si>
    <t>=t("   Plaques et films plans, photographiques, sensibilisés, non impressionnés, pour la photographie en monochrome, en autres matières que le papier, le carton ou les textiles (à l'excl. des plaques et films pour rayons X, des films à développement et ti</t>
  </si>
  <si>
    <t>=t("   PELLICULES PHOTOGRAPHIQUES "Y.C. À DÉVELOPPEMENT ET TIRAGE INSTANTANÉS", SENSIBILISÉES, NON-IMPRESSIONNÉES, NON-PERFORÉES, EN ROULEAUX, D'UNE LARGEUR &lt;= 105 MM, POUR LA PHOTOGRAPHIE EN COULEURS [POLYCHROME] (À L'EXCL. DES PRODUITS EN PAPIER, EN CAR</t>
  </si>
  <si>
    <t>=t("   Pellicules photographiques sensibilisées, non impressionnées, non perforées, en rouleaux, d'une largeur &lt;= 105 mm, pour la photographie en monochrome (à l'excl. des pellicules pour rayons X, des produits en papier, en carton ou en matières textiles</t>
  </si>
  <si>
    <t>=t("   PELLICULES PHOTOGRAPHIQUES SENSIBILISÉES, NON-IMPRESSIONNÉES, PERFORÉES, EN ROULEAUX, D'UNE LARGEUR &gt; 16 MM MAIS &lt;= 35 MM ET D'UNE LONGUEUR &lt;= 30 M, POUR LA PHOTOGRAPHIE EN COULEURS [POLYCHROME] (SAUF EN PAPIER, EN CARTON OU EN MATIÈRES TEXTILES ET</t>
  </si>
  <si>
    <t>=t("   PRÉPARATIONS CHIMIQUES POUR USAGES PHOTOGRAPHIQUES, Y.C. LES PRODUITS NON-MÉLANGÉS, SOIT DOSÉS EN VUE D'USAGES PHOTOGRAPHIQUES, SOIT CONDITIONNÉS POUR LA VENTE AU DÉTAIL POUR CES MÊMES USAGES ET PRÊTS À L'EMPLOI (À L'EXCL. DES VERNIS, COLLES, ADHÉS</t>
  </si>
  <si>
    <t>=t("   Dipentène brut; essence de papeterie au bisulfite et autres paracymènes bruts; essences terpéniques provenant de la distillation ou d'autres traitements des bois de conifères (à l'excl. des essences de térébenthine, de bois de pin ou de papeterie a</t>
  </si>
  <si>
    <t>=t("   AGENTS D'APPRÊT OU DE FINISSAGE, ACCÉLÉRATEURS DE TEINTURE OU DE FIXATION DE MATIÈRES COLORANTES ET AUTRES PRODUITS ET PRÉPARATIONS [PAREMENTS PRÉPARÉS ET PRÉPARATIONS POUR LE MORDANÇAGE, P.EX.], À BASE DE MATIÈRES AMYLACÉES, DES TYPES UTILISÉS DAN</t>
  </si>
  <si>
    <t>=t("   Agents d'apprêt ou de finissage, accélérateurs de teinture ou de fixation de matières colorantes et autres produits et préparations [parements préparés et préparations pour le mordançage, par exemple], des types utilisés dans l'industrie du cuir ou</t>
  </si>
  <si>
    <t xml:space="preserve">=t("   Agents d'apprêt ou de finissage, accélérateurs de teinture ou de fixation de matières colorantes et autres produits et préparations [parements préparés et préparations pour le mordançage, par exemple], des types utilisés dans l'industrie du papier </t>
  </si>
  <si>
    <t>=t("   Flux à souder ou à braser et autres préparations auxiliaires pour le soudage ou le brasage des métaux; préparations des types utilisés pour l'enrobage ou le fourrage des électrodes ou des baguettes de soudage (à l'excl. des pâtes et poudres composé</t>
  </si>
  <si>
    <t>=t("   Inhibiteurs d'oxydation, additifs peptisants, améliorants de viscosité, additifs anticorrosifs et autres additifs préparés, pour huiles minérales - y.c. l'essence - ou pour autres liquides utilisés aux mêmes fins que les huiles minérales (à l'excl.</t>
  </si>
  <si>
    <t xml:space="preserve">=t("   Compositions et charges pour appareils extincteurs; grenades et bombes extinctrices (à l'excl. des appareils extincteurs, même portatifs, chargés ou non, ainsi que des produits chimiques, ayant des propriétés extinctrices, présentés isolément sans </t>
  </si>
  <si>
    <t xml:space="preserve">=t("   Réactifs de diagnostic ou de laboratoire sur tout support et réactifs de diagnostic ou de laboratoire préparés, même présentés sur un support ainsi que des matériaux de référence certifiés (à l'excl. des réactifs composés de diagnostic conçus pour </t>
  </si>
  <si>
    <t>=t("   Déchets des industries chimiques ou des industries connexes (à l'excl. des déchets de solutions [liqueurs] décapantes pour métaux, de liquides hydrauliques, de liquides pour freins et de liquides antigel et ceux  contenant principalement des consti</t>
  </si>
  <si>
    <t>=t("   POLYMÈRES DES ESTERS DE VINYLE ET AUTRES POLYMÈRES DE VINYLE, SOUS FORMES PRIMAIRES (À L'EXCL. DES POLYMÈRES DU CHLORURE DE VINYLE OU D'AUTRES OLEFINES HALOGENEES, DES POLYMÈRES D'ACETATE DE VINYLE AINSI QUE DES ALCOOLS POLYVINYLIQUES, MÊME CONTENA</t>
  </si>
  <si>
    <t>=t("   POLYMÈRES DES ESTERS DE VINYLE ET AUTRES POLYMÈRES DE VINYLE, SOUS FORMES PRIMAIRES (À L'EXCL. DES POLYMÈRES DU CHLORURE DE VINYLE OU D'AUTRES OLÉFINES HALOGÉNÉES, DU POLY[ACÉTATE DE VINYLE], DES COPOLYMÈRES AINSI QUE DU POLY[ALCOOL VINYLIQUE], MÊM</t>
  </si>
  <si>
    <t xml:space="preserve">=t("   Monofilaments dont la plus grande dimension de la coupe transversale &gt; 1 mm [monofils], joncs, bâtons et profilés, même ouvrés en surface mais non autrement travaillés, en matières plastiques (à l'excl. des monofilaments en polymères de l'éthylène </t>
  </si>
  <si>
    <t>=t("   Revêtements de sols, même auto-adhésifs, en rouleaux ou sous formes de carreaux ou de dalles, en polymères du chlorure de vinyle; revêtements de murs ou de plafonds en rouleaux d'une largeur &gt;= 45 cm, constitués d'une couche de matière plastique fi</t>
  </si>
  <si>
    <t>=t("   Revêtements de sols, même auto-adhésifs, en rouleaux ou sous formes de carreaux ou de dalles, et revêtements de murs ou de plafonds en rouleaux d'une largeur &gt;= 45 cm constitués d'une couche de matière plastique fixée en manière permanente sur un s</t>
  </si>
  <si>
    <t>=t("   Plaques, feuilles, bandes, rubans, pellicules et autres formes plates, auto-adhésifs, en matières plastiques, même en rouleaux (à l'excl. des produits en rouleaux d'une largeur &lt;= 20 cm ainsi que des revêtements de sols, de murs ou de plafonds du n</t>
  </si>
  <si>
    <t>=t("   PLAQUES, FEUILLES, PELLICULES, BANDES ET LAMES, EN POLYMÈRES DE L'ÉTHYLÈNE NON-ALVÉOLAIRES, NON-RENFORCÉES NI STRATIFIÉES, NI MUNIES D'UN SUPPORT, NI PAREILLEMENT ASSOCIÉES À D'AUTRES MATIÈRES, NON-TRAVAILLÉES OU SIMPL. OUVRÉES EN SURFACE OU SIMPL.</t>
  </si>
  <si>
    <t xml:space="preserve">=t("   PLAQUES, FEUILLES, PELLICULES, BANDES ET LAMES, EN POLYMÈRES DU PROPYLÈNE NON-ALVÉOLAIRES, NON-RENFORCÉES NI STRATIFIÉES, NI MUNIES D'UN SUPPORT, NI PAREILLEMENT ASSOCIÉES À D'AUTRES MATIÈRES, NON-TRAVAILLÉES OU SIMPL. OUVRÉES EN SURFACE OU SIMPL. </t>
  </si>
  <si>
    <t>=t("   PLAQUES, FEUILLES, PELLICULES, BANDES ET LAMES, EN POLYMÈRES DU CHLORURE DE VINYLE NON ALVÉOLAIRES, SOUPLES, NON RENFORCÉES NI STRATIFIÉES, NI PAREILLEMENT ASSOCIÉES A D'AUTRES MATIÈRES, SANS SUPPORT, NON TRAVAILLÉES OU SIMPLEMENT OUVRÉES EN SURFAC</t>
  </si>
  <si>
    <t>=t("   PLAQUES, FEUILLES, PELLICULES, BANDES ET LAMES, EN POLYMÈRES DU CHLORURE DE VINYLE NON-ALVÉOLAIRES, CONTENANT EN POIDS &gt;= 6% DE PLASTIFIANTS, NON-RENFORCÉES NI STRATIFIÉES, NI MUNIES D'UN SUPPORT, NI PAREILLEMENT ASSOCIÉES À D'AUTRES MATIÈRES, NON-</t>
  </si>
  <si>
    <t>=t("   PLAQUES, FEUILLES, PELLICULES, BANDES ET LAMES, EN POLYMÈRES DU CHLORURE DE VINYLE NON-ALVÉOLAIRES, CONTENANT EN POIDS &lt; 6% DE PLASTIFIANTS, NON-RENFORCÉES NI STRATIFIÉES, NI MUNIES D'UN SUPPORT, NI PAREILLEMENT ASSOCIÉES À D'AUTRES MATIÈRES, NON-T</t>
  </si>
  <si>
    <t xml:space="preserve">=t("   Plaques, feuilles, pellicules, bandes et lames, en poly[méthacrylate de méthyle] non alvéolaire, non renforcées ni stratifiées, ni munies d'un support, ni pareillement associées à d'autres matières, non travaillées ou simplement ouvrées en surface </t>
  </si>
  <si>
    <t>=t("   PLAQUES, FEUILLES, PELLICULES, BANDES ET LAMES, EN POLY[ÉTHYLÈNE TÉRÉPHTALATE] NON-ALVÉOLAIRE, NON-RENFORCÉES NI STRATIFIÉES, NI MUNIES D'UN SUPPORT, NI PAREILLEMENT ASSOCIÉES À D'AUTRES MATIÈRES, NON-TRAVAILLÉES OU SIMPL. OUVRÉES EN SURFACE OU SIM</t>
  </si>
  <si>
    <t>=t("   Plaques, feuilles, pellicules, bandes et lames, en polyesters non saturés non alvéolaires, non renforcées ni stratifiées, ni munies d'un support, ni pareillement associées à d'autres matières, non travaillées ou simplement ouvrées en surface ou sim</t>
  </si>
  <si>
    <t>=t("   Plaques, feuilles, pellicules, bandes et lames, en polyesters non alvéolaires, non renforcées ni stratifiées, ni munies d'un support, ni pareillement associées à d'autres matières, non travaillées ou simplement ouvrées en surface ou simplement déco</t>
  </si>
  <si>
    <t>=t("   PLAQUES, FEUILLES, PELLICULES, BANDES ET LAMES, EN DÉRIVÉS NON-ALVÉOLAIRES DE LA CELLULOSE, NON-RENFORCÉES NI STRATIFIÉES, NI MUNIES D'UN SUPPORT, NI PAREILLEMENT ASSOCIÉES À D'AUTRES MATIÈRES, NON-TRAVAILLÉES OU SIMPL. OUVRÉES EN SURFACE OU SIMPL.</t>
  </si>
  <si>
    <t>=t("   Plaques, feuilles, pellicules, bandes et lames, en polyamides non alvéolaires, non renforcées ni stratifiées, ni munies d'un support, ni pareillement associées à d'autres matières, non travaillées ou simplement ouvrées en surface ou simplement déco</t>
  </si>
  <si>
    <t>=t("   PLAQUES, FEUILLES, PELLICULES, BANDES ET LAMES, EN MATIÈRES PLASTIQUES NON-ALVÉOLAIRES, N.D.A., NON-RENFORCÉES NI STRATIFIÉES, NI MUNIES D'UN SUPPORT, NI PAREILLEMENT ASSOCIÉES À D'AUTRES MATIÈRES, NON-TRAVAILLÉES OU SIMPL. OUVRÉES EN SURFACE OU SI</t>
  </si>
  <si>
    <t>=t("   Plaques, feuilles, pellicules, bandes et lames, en polymères alvéolaires du chlorure de vinyle, non travaillées ou simplement ouvrées en surface ou simplement découpées de forme carrée ou rectangulaire (à l'excl. des produits auto-adhésifs et des r</t>
  </si>
  <si>
    <t>=t("   Plaques, feuilles, pellicules, bandes et lames, en cellulose alvéolaire régénérée, non travaillées ou simplement ouvrées en surface ou simplement découpées de forme carrée ou rectangulaire (à l'excl. des produits auto-adhésifs et des revêtements de</t>
  </si>
  <si>
    <t>=t("   Plaques, feuilles, pellicules, bandes et lames, en produits alvéolaires, non travaillées ou simplement ouvrées en surface ou simplement découpées de forme carrée ou rectangulaire (à l'excl. des produits en polymères du styrène ou du chlorure de vin</t>
  </si>
  <si>
    <t xml:space="preserve">=t("   PLAQUES, FEUILLES, PELLICULES, BANDES ET LAMES, EN MATIÈRES PLASTIQUES, RENFORCÉES, STRATIFIÉES, MUNIES D'UN SUPPORT OU PAREILLEMENT ASSOCIÉES À D'AUTRES MATIÈRES, NON-TRAVAILLÉES OU SIMPL. OUVRÉES EN SURFACE OU SIMPL. DÉCOUPÉES DE FORME CARRÉE OU </t>
  </si>
  <si>
    <t>=t("   Articles de transport ou d'emballage, en matières plastiques (à l'excl. des boîtes, caisses, casiers et articles simil., des sacs, sachets, pochettes et cornets, des bonbonnes, bouteilles, flacons et articles simil., des bobines, fusettes, canettes</t>
  </si>
  <si>
    <t>=t("   Articles de ménage ou d'économie domestique et articles d'hygiène ou de toilette, en matières plastiques (à l'excl. de la vaisselle et des articles pour usages sanitaires ou hygiéniques tels que baignoires, douches, lavabos, bidets, réservoirs de c</t>
  </si>
  <si>
    <t>=t("   ÉLÉMENTS STRUCTURAUX UTILISÉS NOTAMMENT POUR LA CONSTRUCTION DES SOLS, DES MURS, DES CLOISONS, DES PLAFONDS OU DES TOITS, EN MATIÈRES PLASTIQUES: GOUTTIÈRES ET ACCESSOIRES; RAMBARDES, BALUSTRADES, RAMPES ET BARRIÈRES SIMIL.; RAYONNAGES DE GRANDES D</t>
  </si>
  <si>
    <t>=t("   Caoutchouc synthétique et factice pour caoutchouc dérivé des huiles, sous formes primaires ou en plaques, feuilles ou bandes (sauf latex et caoutchoucs styrène-butadiène, styrène-butadiène carboxylé, butadiène, isobutène-isoprène [butyle], isobutèn</t>
  </si>
  <si>
    <t>=t("   Fils et cordes de caoutchouc vulcanisé (à l'excl. des fils nus simples dont la plus grande dimension de la coupe transversale excède 5 mm ainsi que des matières textiles associées à des fils de caoutchouc [p.ex. fils et cordes de caoutchouc recouve</t>
  </si>
  <si>
    <t>=t("   TUBES ET TUYAUX EN CAOUTCHOUC VULCANISÉ NON DURCI, RENFORCÉS À L'AIDE D'AUTRES MATIÈRES QUE LE MÉTAL OU LES MATIÈRES TEXTILES OU AUTREMENT ASSOCIÉS À D'AUTRES MATIÈRES QUE LE MÉTAL OU LES MATIÈRES TEXTILES, AVEC ACCESSOIRES [JOINTS, COUDES, RACCORD</t>
  </si>
  <si>
    <t>=t("   COURROIES DE TRANSMISSION, EN CAOUTCHOUC VULCANISÉ (À L'EXCL. DE COURROIES DE TRANSMISSION DE SECTION TRAPEZOIDALE MÊME STRIEES SANS FIN D'UNE CIRCONFERENCE &gt; 60 CM MAIS &lt;= 240 CM ET DES COURROIES DE TRANSMISSION CRANTEES 'SYNCHRONES' SANS FIN D'UN</t>
  </si>
  <si>
    <t>=t("   COURROIES DE TRANSMISSION, EN CAOUTCHOUC VULCANISÉ (À L'EXCL. DE COURROIES DE TRANSMISSION SANS FIN DE SECTION TRAPÉZOÏDALE, STRIÉES, D'UNE CIRCONFÉRENCE EXTÉRIEURE &gt; 60 CM MAIS &lt;= 240 CM ET DES COURROIES DE TRANSMISSION SANS FIN, CRANTÉES 'SYNCHRO</t>
  </si>
  <si>
    <t>=t("   Pneumatiques neufs, en caoutchouc (à l'excl. des pneumatiques à crampons, à chevrons ou simil. ainsi que des pneumatiques des types utilisés pour les véhicules et engins agricoles et forestiers, de génie civil et de manutention industrielle, pour l</t>
  </si>
  <si>
    <t xml:space="preserve">=t("   Revêtements de sol et tapis de pied, en caoutchouc vulcanisé non durci, à bords biseautés ou moulurés, à coins arrondis, à bordures ajourées ou autrement travaillés (à l'excl. des ouvrages en caoutchouc alvéolaire ainsi que des ouvrages simplement </t>
  </si>
  <si>
    <t>=t("   CUIRS ET PEAUX BRUTS, FRAIS, OU SALÉS, SÉCHÉS, CHAULÉS, PICKLÉS OU AUTREMENT CONSERVÉS, MÊME ÉPILÉS OU REFENDUS, Y.C. LES CUIRS ET PEAUX ET PARTIES DE PEAUX D'OISEAUX REVÊTUES DE LEURS PLUMES OU DE LEUR DUVET (À L'EXCL. DES CUIRS ET PEAUX TANNÉS, P</t>
  </si>
  <si>
    <t>=t("   Articles de sellerie ou de bourrellerie pour tous animaux, y.c. les traits, laisses, genouillères, muselières, tapis de selles, fontes, manteaux pour chiens et articles simil., en toutes matières (à l'excl. des harnais pour enfants ou adultes ainsi</t>
  </si>
  <si>
    <t>=t("   Malles, valises et mallettes, y.c. les mallettes de toilette et mallettes porte-documents, serviettes, cartables et contenants simil. (à l'excl. des articles à surface extérieure en cuir naturel, reconstitué ou verni, en matières plastiques ou en m</t>
  </si>
  <si>
    <t xml:space="preserve">=t("   Portefeuilles, porte-monnaie, étuis à clés ou à cigarettes, blagues à tabac et articles simil. de poche ou de sac à main, à surface extérieure en fibre vulcanisée ou en carton, ou recouverts, en totalité ou en majeure partie, de ces mêmes matières </t>
  </si>
  <si>
    <t>=t("   Sacs de voyage, sacs isolants pour produits alimentaires et boissons, trousses de toilette, sacs à dos, sacs à provisions, porte-cartes, trousses à outils, sacs pour articles de sport, boîtes pour bijoux, écrins pour orfèvrerie et étuis pour jumell</t>
  </si>
  <si>
    <t>=t("   Sacs de voyage, trousses de toilette, sacs à dos, sacs à provisions, porte-cartes, trousses à outils, sacs pour articles de sport, boîtes pour bijoux, écrins pour orfèvrerie et étuis pour jumelles, appareils photographiques, caméras, instruments de</t>
  </si>
  <si>
    <t>=t("   Accessoires du vêtement, en cuir naturel ou reconstitué (à l'excl. des gants, des mitaines, des moufles, des ceintures, des ceinturons, des baudriers, des chaussures, des coiffures, des parties de chaussures ou de coiffures ainsi que des articles d</t>
  </si>
  <si>
    <t>=t("   Ouvrages en cuir naturel ou reconstitué (sauf meubles; appareils d'éclairage; articles de bijouterie fantaisie; boutons et leurs parties; boutons de manchette; jouets, jeux et engins sportifs; fouets, cravaches et articles simil.; articles de selle</t>
  </si>
  <si>
    <t>=t("   Pelleteries factices et articles en pelleteries factices (à l'excl. des chaussures, des coiffures, des parties de chaussures ou de coiffures, des gants comportant à la fois des pelleteries factices et du cuir ainsi que des articles du chapitre 95 [</t>
  </si>
  <si>
    <t>=t("   Bois bruts des bois tropicaux visés à la note 1 de sous-position du présent chapitre, même écorcés, désaubiérés ou équarris (à l'excl. des bois de dark red meranti, light red meranti, meranti bakau, des bois traités avec une peinture, de la créosot</t>
  </si>
  <si>
    <t>=t("   Bois tropicaux visés à la note 1 de sous-position du présent chapitre, sciés ou dédossés longitudinalement, tranchés ou déroulés, même rabotés, poncés ou collés par assemblage en bout, d'une épaisseur &gt; 6 mm (sauf virola, mahogany 'Swietenia spp.',</t>
  </si>
  <si>
    <t>=t("   Bois sciés ou dédossés longitudinalement, tranchés ou déroulés, d'une épaisseur &gt; 6 mm, même rabotés, poncés ou collés par assemblage en bout (à l'excl. des bois tropicaux visés à la note 1 de sous-position du présent chapitre ainsi que des bois de</t>
  </si>
  <si>
    <t>=t("   FEUILLES POUR PLACAGE - Y.C. CELLES OBTENUES PAR TRANCHAGE DE BOIS STRATIFIÉ -,  FEUILLES POUR CONTRE-PLAQUÉS OU POUR AUTRES BOIS STRATIFIÉS SIMIL. ET AUTRES BOIS SCIÉS LONGITUDINALEMENT, TRANCHÉS OU DÉROULÉS, MÊME RABOTÉS, PONCÉS, ASSEMBLÉS BORD À</t>
  </si>
  <si>
    <t xml:space="preserve">=t("   BOIS, Y.C. LES LAMES ET FRISES POUR PARQUETS, NON-ASSEMBLÉES, PROFILÉS "LANGUETÉS, RAINÉS, BOUVETÉS, FEUILLURÉS, CHANFREINÉS, JOINTS EN V, MOULURÉS, ARRONDIS OU SIMIL." TOUT AU LONG D'UNE OU DE PLUSIEURS RIVES, FACES OU BOUTS, MÊME RABOTÉS, PONCÉS </t>
  </si>
  <si>
    <t>=t("   Panneaux de particules et panneaux simil., en bois, même agglomérés avec des résines ou d'autres liants organiques (sauf bruts ou simplement poncés, recouverts en surface de papier imprégné de mélamine ou de plaques ou de feuilles décoratives strat</t>
  </si>
  <si>
    <t>=t("   Panneaux de particules et panneaux simil., en fragments provenant de la bagasse, bambou ou paille de céréales ou en autres matières ligneuses, même agglomérés avec des résines ou d'autres liants organiques (sauf panneaux de fibres; panneaux cellula</t>
  </si>
  <si>
    <t>=t("   PANNEAUX DE FIBRES DE BOIS OU AUTRES MATIÈRES LIGNEUSES, MÊME AGGLOMÉRÉES AVEC DES LIANTS ORGANIQUES, D'UNE MASSE VOLUMIQUE &gt; 0,8 G/CM³, NON-OUVRÉS MÉCANIQUEMENT NI RECOUVERTS EN SURFACE (SAUF CARTON, PANNEAUX DE PARTICULES, MÊME STRATIFIÉS, BOIS S</t>
  </si>
  <si>
    <t>=t("   Panneaux de fibres de bois ou autres matières ligneuses, même agglomérées avec des liants organiques, d'une masse volumique &gt; 0,8 g/cm³, ouvrés mécaniquement ou recouverts en surface (sauf carton, panneaux simpl. poncés ou de particules, même strat</t>
  </si>
  <si>
    <t>=t("   PANNEAUX DE FIBRES DE BOIS OU AUTRES MATIÈRES LIGNEUSES, MÊME AGGLOMÉRÉES AVEC DES LIANTS ORGANIQUES, D'UNE MASSE VOLUMIQUE &gt; 0,5 G/CM³ ET &lt;= 0,8 G/CM³, NON-OUVRÉS MÉCANIQUEMENT NI RECOUVERTS EN SURFACE (SAUF CARTON, PANNEAUX DE PARTICULES, MÊME ST</t>
  </si>
  <si>
    <t>=t("   Panneaux de fibres de bois ou autres matières ligneuses, même agglomérées avec des liants organiques, d'une masse volumique &gt; 0,5 g/cm³ mais &lt;= 0,8 g/cm³, ouvrés mécaniquement ou recouverts en surface (sauf carton, panneaux simpl. poncés ou de part</t>
  </si>
  <si>
    <t>=t("   Panneaux de fibres de bois ou autres matières ligneuses, même agglomérées avec des liants organiques, d'une masse volumique &lt;= 0,35 g/cm³, non ouvrés mécaniquement ni recouverts en surface (sauf carton, panneaux de particules, même stratifiés, bois</t>
  </si>
  <si>
    <t>=t("   Panneaux de fibres de bois ou autres matières ligneuses, même agglomérées avec des liants organiques, d'une masse volumique &lt;= 0,35 g/cm³, ouvrés mécaniquement ou recouverts en surface (sauf carton, panneaux simplement poncés ou de particules, même</t>
  </si>
  <si>
    <t>=t("   Bois contre-plaqués constitués exclusivement de feuilles de bois dont chacune a une épaisseur &lt;= 6 mm, ayant au moins un pli extérieur en bois tropicaux visés à la note 1 de sous-position du présent chapitre (à l'excl. des panneaux en bois dits 'de</t>
  </si>
  <si>
    <t>=t("   Bois contre-plaqués constitués exclusivement de feuilles de bois dont chacune a une épaisseur &lt;= 6 mm (à l'excl. des bois contre-plaqués du n° 4412.13 et 4412.14, des panneaux en bois dits 'densifiés', des panneaux cellulaires en bois, des bois mar</t>
  </si>
  <si>
    <t>=t("   Bois plaqués et bois stratifiés simil., ayant au moins un pli extérieur en bois autres que de conifères et autres que de bois tropicaux visés à la note 1 de sous-position du présent chapitre et contenant au moins un panneau de particules (à l'excl.</t>
  </si>
  <si>
    <t>=t("   Bois plaqués et bois stratifiés simil., ayant au moins un pli extérieur en bois autres que de conifères et autres que de bois tropicaux visés à la note 1 de sous-position du présent chapitre, ne contenant pas de panneaux de particules (à l'excl. de</t>
  </si>
  <si>
    <t xml:space="preserve">=t("   BOIS PLAQUÉS ET BOIS STRATIFIÉS SIMIL., SANS ÂME PANNEAUTÉE, LATTÉE OU LAMELLÉE (À L'EXCL. DE BAMBOO, DES BOIS CONTRE-PLAQUÉS CONSTITUÉS EXCLUSIVEMENT DE FEUILLES DE BOIS DONT CHACUNE A UNE ÉPAISSEUR &lt;= 6 MM, DES PANNEAUX EN BOIS DITS 'DENSIFIÉS', </t>
  </si>
  <si>
    <t>=t("   Outils, montures et manches d'outils, montures de brosses, manches de balais ou de brosses, en bois; formes, embauchoirs et tendeurs pour chaussures, en bois (à l'excl. des moules du n° 8480, des formes de chapellerie ainsi que des machines et part</t>
  </si>
  <si>
    <t>=t("   OUVRAGES DE MENUISERIE ET PIÈCES DE CHARPENTE POUR CONSTRUCTION, Y.C. LES PANNEAUX CELLULAIRES (À L'EXCL. DES FENÊTRES, PORTES-FENÊTRES ET LEURS CADRES ET CHAMBRANLES, DES PORTES ET LEURS CADRES, CHAMBRANLES ET SEUILS, DES POTEAUX ET POUTRES, DES P</t>
  </si>
  <si>
    <t>=t("   Articles en bois pour la table ou la cuisine (à l'excl. des articles d'ameublement, des objets d'ornement, des ouvrages de tonnellerie, des parties d'articles en bois pour la table ou la cuisine, des balais, des brosses ainsi que des tamis et cribl</t>
  </si>
  <si>
    <t>=t("   Bois marquetés et bois incrustés; coffrets, écrins et étuis pour bijouterie ou orfèvrerie et ouvrages simil., en bois; articles d'ameublement en bois (à l'excl. des statuettes et autres objets d'ornement, des meubles, des appareils d'éclairage ains</t>
  </si>
  <si>
    <t>=t("   Ouvrages de vannerie obtenus directement en forme à partir de matières à tresser végétales ou confectionnés à l'aide des matières à tresser végétales du n° 4601; ouvrages en luffa (sauf revêtements muraux du n° 4814, ficelles, cordes et cordages, c</t>
  </si>
  <si>
    <t xml:space="preserve">=t("   Ouvrages de vannerie obtenus directement en forme à partir de matières à tresser non végétales ou confectionnés à l'aide de matières à tresser non végétales du n° 4601 (à l'excl. des revêtements muraux du n° 4814, des ficelles, cordes et cordages, </t>
  </si>
  <si>
    <t>=t("   PAPIERS ET CARTONS, NON-COUCHÉS NI ENDUITS, UTILISÉS POUR L'ÉCRITURE, L'IMPRESSION OU D'AUTRES FINS GRAPHIQUES, ET PAPIERS ET CARTONS POUR CARTES OU BANDES À PERFORER, NON-PERFORÉS, EN ROULEAUX DE TOUT FORMAT, SANS FIBRES OBTENUES PAR UN PROCÉDÉ MÉ</t>
  </si>
  <si>
    <t>=t("   PAPIERS ET CARTONS, NON-COUCHÉS NI ENDUITS, UTILISÉS POUR L'ÉCRITURE, L'IMPRESSION OU D'AUTRES FINS GRAPHIQUES, ET PAPIERS ET CARTONS POUR CARTES OU BANDES À PERFORER, NON-PERFORÉS, EN FEUILLES DE FORME CARRÉE OU RECTANGULAIRE DONT UN CÔTÉ &lt;= 435 M</t>
  </si>
  <si>
    <t>=t("   Papiers et cartons, non couchés ni enduits, utilisés pour l'écriture, l'impression ou d'autres fins graphiques, et papiers et cartons pour cartes ou bandes à perforer, non perforés, en feuilles de forme carrée ou rectangulaire dont un coté &gt; 435 mm</t>
  </si>
  <si>
    <t>=t("   PAPIERS ET CARTONS, NON-COUCHÉS NI ENDUITS, UTILISÉS POUR L'ÉCRITURE, L'IMPRESSION OU D'AUTRES FINS GRAPHIQUES, ET PAPIERS ET CARTONS POUR CARTES OU BANDES À PERFORER, NON-PERFORÉS, EN ROULEAUX OU EN FEUILLES DE FORME CARRÉE OU RECTANGULAIRE, DE TO</t>
  </si>
  <si>
    <t xml:space="preserve">=t("   PAPIERS ET CARTONS, NON-COUCHÉS NI ENDUITS, UTILISÉS POUR L'ÉCRITURE, L'IMPRESSION OU D'AUTRES FINS GRAPHIQUES, ET PAPIERS ET CARTONS POUR CARTES OU BANDES À PERFORER, NON-PERFORÉS, EN ROULEAUX DE TOUT FORMAT, DONT &gt; 10% EN POIDS DE LA COMPOSITION </t>
  </si>
  <si>
    <t>=t("   Papiers utilisés pour papiers de toilette, serviettes à démaquiller, essuie-mains, serviettes ou papiers simil. à usages domestiques, d'hygiène ou de toilette, ouate de cellulose et nappes de fibres de cellulose, même crêpés, plissés, gaufrés, esta</t>
  </si>
  <si>
    <t>=t("   PAPIERS ET CARTONS KRAFT, ÉCRUS, NON-COUCHÉS NI ENDUITS, EN ROULEAUX D'UNE LARGEUR &gt; 36 CM OU EN FEUILLES DE FORME CARRÉE OU RECTANGULAIRE DONT AU MOINS UN CÔTÉ &gt; 36 CM ET L'AUTRE &gt; 15 CM À L'ÉTAT NON-PLIÉ, D'UN POIDS &lt;= 150 G/M² (À L'EXCL. DES PAP</t>
  </si>
  <si>
    <t>=t("   PAPIERS ET CARTONS KRAFT, NON-COUCHÉS NI ENDUITS, EN ROULEAUX D'UNE LARGEUR &gt; 36 CM OU EN FEUILLES DE FORME CARRÉE OU RECTANGULAIRE DONT AU MOINS UN CÔTÉ &gt; 36 CM ET L'AUTRE &gt; 15 CM À L'ÉTAT NON-PLIÉ, D'UN POIDS &lt;= 150 G/M² (À L'EXCL. DES PRODUITS É</t>
  </si>
  <si>
    <t>=t("   PAPIERS ET CARTONS KRAFT, NON-COUCHÉS NI ENDUITS, EN ROULEAUX D'UNE LARGEUR &gt; 36 CM OU EN FEUILLES DE FORME CARRÉE OU RECTANGULAIRE DONT AU MOINS UN CÔTÉ &gt; 36 CM ET L'AUTRE &gt; 15 CM À L'ÉTAT NON-PLIÉ, D'UN POIDS &gt; 150 G/M² MAIS &lt; 225 G/M² (SAUF PROD</t>
  </si>
  <si>
    <t>=t("   PAPIERS ET CARTONS KRAFT, NON-COUCHÉS NI ENDUITS, EN ROULEAUX D'UNE LARGEUR &gt; 36 CM OU EN FEUILLES DE FORME CARRÉE OU RECTANGULAIRE DONT AU MOINS UN CÔTÉ &gt; 36 CM ET L'AUTRE &gt; 15 CM À L'ÉTAT NON-PLIÉ, D'UN POIDS &gt;= 225 G/M² (SAUF PRODUITS 'KRAFTLINE</t>
  </si>
  <si>
    <t>=t("   PAPIERS ET CARTONS ASSEMBLÉS À PLAT PAR COLLAGE, NON-COUCHÉS NI ENDUITS À LA SURFACE NI IMPRÉGNÉS, MÊME RENFORCÉS INTÉRIEUREMENT, EN ROULEAUX D'UNE LARGEUR &gt; 36 CM OU EN FEUILLES DE FORME CARRÉE OU RECTANGULAIRE DONT AU MOINS UN CÔTÉ &gt; 36 CM ET L'A</t>
  </si>
  <si>
    <t>=t("   PAPIERS ET CARTONS ASSEMBLÉS A PLAT PAR COLLAGE, NON-COUCHÉS NI ENDUITS A LA SURFACE NI IMPREGNES, MÊME RENFORCES INTERIEUREMENT, EN ROULEAUX OU EN FEUILLES DES TYPES DEFINIS DANS LES NOTES 7AA) OU 7AB) DU PRESENT CHAPITRE (À L'EXCL. DES PAPIERS ET</t>
  </si>
  <si>
    <t>=t("   Papiers et cartons crêpés, plissés, gaufrés, estampés ou perforés, en rouleaux d'une largeur &gt; 36 cm ou en feuilles de forme carrée ou rectangulaire dont au moins un coté &gt; 36 cm et l'autre &gt; 15 cm à l'état non plié (à l'excl. des articles du n° 48</t>
  </si>
  <si>
    <t>=t("   Papiers pour duplication ou reports - y.c. les papiers couchés, enduits ou imprégnés pour stencils ou pour plaques offset -, même imprimés, en rouleaux d'une largeur &gt; 36 cm ou en feuilles de forme carrée ou rectangulaire dont un côté au moins &gt; 36</t>
  </si>
  <si>
    <t xml:space="preserve">=t("   PAPIERS ET CARTONS COUCHES AU KAOLIN OU A D'AUTRES SUBSTANCES INORGANIQUES SUR UNE OU SUR LES DEUX FACES, DES TYPES UTILISÉS POUR ÉCRITURE, IMPRESSION OU AUTRES FINS GRAPHIQUES, SANS FIBRES OBTENUES PAR UN PROCEDE MECANIQUE OU DONT =&lt; 10% EN POIDS </t>
  </si>
  <si>
    <t>=t("   Papiers et cartons, des types utilisés pour écriture, impression ou autres fins graphiques, sans fibres obtenues par un procédé mécanique ou chimico-mécanique ou dont &lt;= 10% en poids de la composition fibreuse totale sont constitués par de telles f</t>
  </si>
  <si>
    <t>=t("   Papiers et cartons, des types utilisés pour écriture, impression ou autres fins graphiques, dont &gt; 10% en poids de la composition fibreuse totale sont constitués par des fibres obtenues par un procédé mécanique ou chimico-mécanique,  couché au kaol</t>
  </si>
  <si>
    <t>=t("   Papiers et cartons multicouches, couchés au kaolin ou à d'autres substances inorganiques sur une ou sur les deux faces, en rouleaux ou en feuilles de forme carrée ou rectangulaire, de tout format (à l'excl. des papiers et cartons kraft ainsi que de</t>
  </si>
  <si>
    <t>=t("   Papiers et cartons couchés au kaolin ou à d'autres substances inorganiques sur une ou sur les deux faces, avec ou sans liants, même coloriés en surface, décorés en surface ou imprimés, en rouleaux ou en feuilles de forme carrée ou rectangulaire, de</t>
  </si>
  <si>
    <t>=t("   Papiers et cartons, coloriés en surface, décorés en surface ou imprimés, enduits, imprégnés ou recouverts de matière plastique, en rouleaux ou en feuilles de forme carrée ou rectangulaire, de tout format (à l'excl. des adhésifs ainsi que des papier</t>
  </si>
  <si>
    <t>=t("   PAPIERS PEINTS ET REVÊTEMENTS MURAUX SIMIL. EN PAPIER ET VITRAUPHANIES EN PAPIER (À L'EXCL. DU PAPIER DIT 'INGRAIN' AINSI QUE DES REVÊTEMENTS MURAUX CONSTITUÉS PAR DU PAPIER ENDUIT OU RECOUVERT, SUR L'ENDROIT, D'UNE COUCHE DE MATIÈRE PLASTIQUE GRAI</t>
  </si>
  <si>
    <t>=t("   Papiers dits 'autocopiants', présentés en rouleaux d'une largeur &lt;= 36 cm ou en feuilles carrées ou rectangulaires dont aucun côté &gt; 36 cm à l'état non plié, ou découpés de forme autre que carrée ou rectangulaire, même conditionnés en boîtes (à l'e</t>
  </si>
  <si>
    <t>=t("   Papiers pour duplication ou reports - présentés en rouleaux d'une largeur &lt;= 36 cm ou en feuilles carrées ou rectangulaires dont aucun côté &gt; 36 cm à l'état non plié, ou découpés de forme autre que carrée ou rectangulaire -, et plaques offset, en p</t>
  </si>
  <si>
    <t>=t("   Vêtements et accessoires du vêtement, en pâte à papier, papier, ouate de cellulose ou nappes de fibres de cellulose (à l'excl. des guêtres et articles simil., des coiffures et leurs parties ainsi que des chaussures et leurs parties, y.c. les semell</t>
  </si>
  <si>
    <t>=t("   Papiers des types utilisés pour papiers de toilette et pour papiers simil., ouate de cellulose ou nappes de fibres de cellulose, des types utilisés à des fins domestiques ou sanitaires, en rouleaux d'une largeur &lt;= 36 cm, ou coupés à format; articl</t>
  </si>
  <si>
    <t>=t("   Emballages, y.c. les pochettes pour disques, en papier, carton, ouate de cellulose ou nappes de fibres de cellulose (à l'excl. des boîtes et caisses en papier ou en carton ondulé, des boîtes et cartonnages, pliants, en papier ou en carton non ondul</t>
  </si>
  <si>
    <t>=t("   Sous-main et autres articles scolaires, de bureau ou de papeterie, en papier ou en carton, et couvertures pour livres, en papier ou en carton (sauf registres, livres comptables, carnets de notes, de commandes ou de quittances, blocs-memorandums, bl</t>
  </si>
  <si>
    <t xml:space="preserve">=t("   PAPIERS, CARTONS, OUATE DE CELLULOSE ET NAPPES DE FIBRES DE CELLULOSE, EN BANDES OU EN ROULEAUX D'UNE LARGEUR &lt;= 36 CM OU EN FEUILLES DE FORME CARRÉE OU RECTANGULAIRE DONT AUCUN CÔTÉ &gt; 36 CM À L'ÉTAT NON-PLIÉ, OU DÉCOUPÉS DE FORME AUTRE QUE CARRÉE </t>
  </si>
  <si>
    <t>=t("   TIMBRES-POSTE, TIMBRES FISCAUX ET ANALOGUES, NON-OBLITÉRÉS, AYANT COURS OU DESTINÉS À AVOIR COURS DANS LE PAYS DANS LEQUEL ILS ONT,  OU AURONT, UNE VALEUR FACIALE RECONNUE; PAPIER TIMBRÉ; BILLETS DE BANQUE; CHÈQUES; TITRES D'ACTIONS OU D'OBLIGATION</t>
  </si>
  <si>
    <t>=t("   Tissus de coton, écrus, contenant en prédominance, mais &lt; 85% en poids de coton, mélangés principalement ou uniquement avec des fibres synthétiques ou artificielles, d'un poids &lt;= 200 g/m² (à l'excl. des tissus à armure toile ou à armure sergé [y.c</t>
  </si>
  <si>
    <t>=t("   Tissus de coton, blanchis, contenant en prédominance, mais &lt; 85% en poids de coton, mélangés principalement ou uniquement avec des fibres synthétiques ou artificielles, d'un poids &lt;= 200 g/m² (à l'excl. des tissus à armure toile ou à armure sergé [</t>
  </si>
  <si>
    <t>=t("   Tissus de coton, écrus, contenant en prédominance, mais &lt; 85% en poids de coton, mélangés principalement ou uniquement avec des fibres synthétiques ou artificielles, d'un poids &gt; 200 g/m² (à l'excl. des tissus à armure toile ou à armure sergé [y.c.</t>
  </si>
  <si>
    <t>=t("   Tissus de coton, blanchis, contenant en prédominance, mais &lt; 85% en poids de coton, mélangés principalement ou uniquement avec des fibres synthétiques ou artificielles, d'un poids &gt; 200 g/m² (à l'excl. des tissus à armure toile ou à armure sergé [y</t>
  </si>
  <si>
    <t>=t("   Tissus de coton, imprimés, contenant en prédominance, mais &lt; 85% en poids de coton, mélangés principalement ou uniquement avec des fibres synthétiques ou artificielles, d'un poids &gt; 200 g/m² (à l'excl. des tissus à armure toile ou à armure sergé [y</t>
  </si>
  <si>
    <t>=t("   Fils retors ou câblés, de filaments artificiels, y.c. les monofilaments artificiels de moins de 67 décitex (à l'excl. des fils à coudre, des fils texturés et des fils de filaments de rayonne viscose ou d'acétate de cellulose et conditionnés pour la</t>
  </si>
  <si>
    <t>=t("   Tissus de fils de filaments synthétiques, y.c. les tissus obtenus à partir des monofilaments du n° 5404, constitués par des nappes de fils textiles parallélisés qui se superposent à angle aigu ou droit et sont fixées entre elles aux points de crois</t>
  </si>
  <si>
    <t>=t("   Tissus imprimés, obtenus à partir de fils contenant &gt;= 85% en poids de filaments synthétiques, y.c. les tissus obtenus à partir des monofilaments du n° 5404 (à l'excl. des tissus obtenus à partir de filaments ou de monofilaments de polyester, de ny</t>
  </si>
  <si>
    <t>=t("   Tissus teints, obtenus à partir de fils de filaments synthétiques contenant en prédominance, mais &lt; 85% en poids de ces filaments, y.c. les tissus obtenus à partir des monofilaments du n° 5404 (à l'excl. des tissus mélangés principalement ou unique</t>
  </si>
  <si>
    <t>=t("   Tissus imprimés, obtenus à partir de fils de filaments synthétiques contenant en prédominance, mais &lt; 85% en poids de ces filaments, y.c. les tissus obtenus à partir des monofilaments du n° 5404 (à l'excl. des tissus mélangés principalement ou uniq</t>
  </si>
  <si>
    <t>=t("   Tissus, écrus ou blanchis, de fibres discontinues de polyester, contenant en prédominance, mais &lt; 85% en poids de ces fibres, mélangés principalement ou uniquement avec du coton, d'un poids &lt;= 170 g/m² (à l'excl. des tissus à armure toile ou à armu</t>
  </si>
  <si>
    <t>=t("   Tissus, écrus ou blanchis, de fibres synthétiques discontinues, contenant en prédominance, mais &lt; 85% en poids de ces fibres, mélangés principalement ou uniquement avec du coton, d'un poids &lt;= 170 g/m² (à l'excl. des tissus de fibres discontinues d</t>
  </si>
  <si>
    <t>=t("   Tissus en fils de diverses couleurs, en fibres synthétiques discontinues, contenant en prédominance, mais &lt; 85% en poids de ces fibres, mélangés principalement ou uniquement avec du coton, d'un poids &lt;= 170 g/m² (à l'excl. des tissus de fibres disc</t>
  </si>
  <si>
    <t xml:space="preserve">=t("   Tissus, imprimés, de fibres discontinues de polyester, contenant en prédominance, mais &lt; 85% en poids de ces fibres, mélangés principalement ou uniquement avec du coton, d'un poids &lt;= 170 g/m² (à l'excl. des tissus à armure toile ou à armure sergé </t>
  </si>
  <si>
    <t>=t("   Tissus, écrus ou blanchis, de fibres discontinues de polyester, contenant en prédominance, mais &lt; 85% en poids de ces fibres, mélangés principalement ou uniquement avec du coton, d'un poids &gt; 170 g/m² (à l'excl. des tissus à armure toile ou à armur</t>
  </si>
  <si>
    <t>=t("   Tissus en fils de diverses couleurs, en fibres synthétiques discontinues, contenant en prédominance, mais &lt; 85% en poids de ces fibres, mélangés principalement ou uniquement avec du coton, d'un poids &gt; 170 g/m² (à l'excl. des tissus de fibres disco</t>
  </si>
  <si>
    <t>=t("   Tissus, imprimés, de fibres discontinues de polyester, contenant en prédominance, mais &lt; 85% en poids de ces fibres, mélangés principalement ou uniquement avec du coton, d'un poids &gt; 170 g/m² (à l'excl. des tissus à armure toile ou à armure sergé [</t>
  </si>
  <si>
    <t xml:space="preserve">=t("   Tissus de fibres discontinues de polyester, contenant en prédominance, mais &lt; 85% en poids de ces fibres (à l'excl. des tissus mélangés principalement ou uniquement avec de la laine ou des poils fins, des filaments synthétiques ou artificiels, des </t>
  </si>
  <si>
    <t>=t("   Tissus de fibres discontinues acryliques ou modacryliques, contenant en prédominance, mais &lt; 85% en poids de ces fibres (à l'excl. des tissus mélangés principalement ou uniquement avec de la laine ou des poils fins, des filaments synthétiques ou ar</t>
  </si>
  <si>
    <t>=t("   Tissus de fibres synthétiques discontinues, contenant en prédominance, mais &lt; 85% en poids de ces fibres, mélangés principalement ou uniquement avec des filaments synthétiques ou artificiels (à l'excl. des tissus de fibres discontinues acryliques o</t>
  </si>
  <si>
    <t>=t("   Tissus de fibres synthétiques discontinues, contenant en prédominance, mais &lt; 85% en poids de ces fibres, mélangés principalement ou uniquement avec de la laine ou des poils fins (à l'excl. des tissus de fibres discontinues acryliques ou modacryliq</t>
  </si>
  <si>
    <t>=t("   Tissus de fibres synthétiques discontinues, contenant en prédominance, mais &lt; 85% en poids de ces fibres (à l'excl. des tissus de fibres discontinues acryliques ou modacryliques ou de fibres discontinues de polyester ainsi que des tissus mélangés p</t>
  </si>
  <si>
    <t xml:space="preserve">=t("   Ouates de coton et articles en ces ouates (sauf serviettes et tampons hygiéniques, couches pour bébés et articles hygiéniques simil., produits imprégnés ou recouverts de substances pharmaceutiques ou conditionnés pour la vente au détail à des fins </t>
  </si>
  <si>
    <t>=t("   Ouates de matières textiles et artificielles en ces ouates (sauf produits en coton ou fibres synthétiques ou artificielles; serviettes et tampons hygiéniques; couches pour bébés et articles hygiéniques simil.; produits imprégnés ou recouverts de su</t>
  </si>
  <si>
    <t xml:space="preserve">=t("   Filets à mailles nouées, en nappes ou en pièces, obtenus à partir de ficelles, cordes ou cordages; filets confectionnés, en matières textiles synthétiques ou artificielles (à l'excl. des filets confectionnés pour la pêche, des résilles et filets à </t>
  </si>
  <si>
    <t>=t("   Filets à mailles nouées, en nappes ou en pièces, obtenus à partir de ficelles, cordes ou cordages; filets confectionnés pour la pêche et autres filets confectionnés, en matières textiles végétales (à l'excl. des filets et résilles à cheveux ainsi q</t>
  </si>
  <si>
    <t>=t("   TAPIS ET AUTRES REVÊTEMENTS DE SOL, DE MATIÈRES TEXTILES SYNTHÉTIQUES OU ARTIFICIELLES, TISSÉS, NON-TOUFFETÉS NI FLOQUÉS, À VELOURS, NON-CONFECTIONNÉS (À L'EXCL. DES TAPIS DITS 'KELIM', 'KILIM', 'SCHUMACKS', 'SOUMAK' OU 'KARAMANIE' AINSI QUE DES TA</t>
  </si>
  <si>
    <t>=t("   Tapis et autres revêtements de sol, de matières textiles végétales ou de poils grossiers, tissés, non touffetés ni floqués, à velours, non confectionnés (à l'excl. des revêtements de sol en coco et des tapis dits 'kelim', 'kilim', 'schumacks', 'sou</t>
  </si>
  <si>
    <t>=t("   Tapis et autres revêtements de sol, de matières textiles végétales ou de poils grossiers, tissés, non touffetés ni floqués, à velours, confectionnés (à l'excl. des revêtements de sol en coco ainsi que des tapis dits 'kelim', 'kilim', 'schumacks', '</t>
  </si>
  <si>
    <t>=t("   TAPIS ET AUTRES REVÊTEMENTS DE SOL, DE MATIÈRES TEXTILES SYNTHÉTIQUES OU ARTIFICIELLES, TISSÉS, NON-TOUFFETÉS NI FLOQUÉS, SANS VELOURS, CONFECTIONNÉS (À L'EXCL. DES TAPIS DITS 'KELIM', 'KILIM', 'SCHUMACKS', 'SOUMAK' OU 'KARAMANIE' ET DES TAPIS SIMI</t>
  </si>
  <si>
    <t>=t("   Tapis et autres revêtements de sol, de matières textiles végétales ou de poils grossiers, tissés, non touffetés ni floqués, sans velours, confectionnés (à l'excl. des revêtements de sol en coco ainsi que des tapis dits 'kelim', 'kilim', 'schumacks'</t>
  </si>
  <si>
    <t>=t("   Tapisseries tissées à la main [genre Gobelins, Flandres, Aubusson, Beauvais et simil.] et tapisseries à l'aiguille [au petit point, au point de croix, par exemple], même confectionnées (à l'excl. des tapisseries ayant plus de 100 ans d'âge ainsi qu</t>
  </si>
  <si>
    <t>=t("   Rubanerie, tisséé, en matières textiles, contenant en poids &gt;= 5% de fils d'élastomères ou de fils de caoutchouc (autre que rubanerie de velours, de peluches, de tissus de chenille ou de tissus bouclés du genre éponge ainsi que les étiquettes, écus</t>
  </si>
  <si>
    <t>=t("   Articles de passementerie et articles ornementaux analogues en matières textiles, en pièces, sans broderie, et glands, floches, olives, noix, pompons et articles simil. en matières textiles (à l'excl. des tresses en pièces ainsi que des articles de</t>
  </si>
  <si>
    <t xml:space="preserve">=t("   Tissus imprégnés, enduits ou recouverts de poly[chlorure de vinyle] ou stratifiés avec du poly[chlorure de vinyle] (à l'excl. des tissus imprégnés ou enduits de poly[chlorure de vinyle] ayant le caractère de revêtements muraux ainsi que des tissus </t>
  </si>
  <si>
    <t xml:space="preserve">=t("   TISSUS, FEUTRES ET TISSUS DOUBLÉS DE FEUTRE, COMBINÉS AVEC UNE OU PLUSIEURS COUCHES DE CAOUTCHOUC, DE CUIR OU D'AUTRES MATIÈRES, DES TYPES UTILISÉS POUR LA FABRICATION DE GARNITURES DE CARDÉS, ET PRODUITS ANALOGUES POUR D'AUTRES USAGES TECHNIQUES, </t>
  </si>
  <si>
    <t xml:space="preserve">=t("   MANTEAUX, CABANS, CAPES, ANORAKS, BLOUSONS ET ARTICLES SIMIL., EN BONNETERIE, DE MATIÈRES TEXTILES, POUR HOMMES ET GARÇONNETS (SAUF DE COTON, FIBRES SYNTHÉTIQUES OU ARTIFICIELLES ET SAUF COSTUMES OU COMPLETS, ENSEMBLES, VESTES, VESTONS, BLAZERS ET </t>
  </si>
  <si>
    <t>=t("   PANTALONS, Y.C. KNICKERS ET PANTALONS SIMIL., ET CULOTTES, SALOPETTES À BRETELLES ET SHORTS, EN BONNETERIE, DE MATIÈRES TEXTILES, POUR FEMMES OU FILLETTES (SAUF DE LAINE, POILS FINS, COTON, FIBRES SYNTHÉTIQUES ET SAUF SLIPS ET MAILLOTS, CULOTTES ET</t>
  </si>
  <si>
    <t>=t("   Déshabillés, peignoirs de bain, robes de chambre et articles simil., en bonneterie, de matières textiles, pour femmes ou fillettes (sauf de coton ou fibres synthétiques ou artificielles et sauf gilets de corps, combinaisons et fonds de robe, jupons</t>
  </si>
  <si>
    <t>=t("   BAS ET MI-BAS, CHAUSSETTES ET AUTRES ARTICLES CHAUSSANTS, Y.C. LES BAS À VARICES, EN BONNETERIE, DE MATIÈRES TEXTILES (AUTRES QUE LAINE, POILS FINS, COTON, FIBRES SYNTHÉTIQUES ET SAUF COLLANTS 'BAS-CULOTTES' BAS ET MI-BAS POUR FEMMES À TITRE &lt; 67 D</t>
  </si>
  <si>
    <t>=t("   ANORAKS, BLOUSONS ET ARTICLES SIMIL. DE COTON, POUR HOMMES OU GARÇONNETS (À L'EXCL. DES ARTICLES EN BONNETERIE ET DES COSTUMES OU COMPLETS, ENSEMBLES, VESTES, VESTONS, BLAZERS, PANTALONS ET PARTIES SUPÉRIEURES DES ENSEMBLES DE SKI) [01/01/1988-31/1</t>
  </si>
  <si>
    <t>=t("   Anoraks, blousons et articles simil., de fibres synthétiques ou artificielles, pour hommes ou garçonnets (à l'excl. des articles en bonneterie et des costumes ou complets, ensembles, vestes, vestons, blazers, pantalons et parties supérieures des en</t>
  </si>
  <si>
    <t>=t("   Anoraks, blousons et articles simil., de matières textiles, pour hommes ou garçonnets (autres que laine, poils fins, coton, fibres synthétiques ou artificielles et à l'excl. des articles en bonneterie et des costumes ou complets, ensembles, vestes,</t>
  </si>
  <si>
    <t>=t("   Costumes ou complets, de matières textiles, pour hommes ou garçonnets (autres que laine, poils fins ou fibres synthétiques, autres qu'en bonneterie et sauf survêtements de sport 'trainings', combinaisons et ensembles de ski, maillots, culottes et s</t>
  </si>
  <si>
    <t>=t("   Pantalons, y.c. knickers et pantalons simil., salopettes à bretelles, culottes et shorts, de matières textiles, pour hommes ou garçonnets (autres que laine, poils fins, coton ou fibres synthétiques, autres qu'en bonneterie et sauf slips et caleçons</t>
  </si>
  <si>
    <t xml:space="preserve">=t("   Pantalons, y.c. knickers et pantalons simil., salopettes à bretelles, culottes et shorts, de matières textiles, pour femmes ou fillettes (autres que de laine, poils fins, coton, fibres synthétiques ou artificielles, autres qu'en bonneterie et sauf </t>
  </si>
  <si>
    <t>=t("   Chemisiers, blouses, blouses-chemisiers et chemisettes, de matières textiles, pour femmes ou fillettes (autres que de laine, poils fins, coton, fibres synthétiques ou artificielles, soie et déchets de soie, autres qu'en bonneterie et sauf gilets de</t>
  </si>
  <si>
    <t>=t("   Gilets de corps, chemises de jour, slips, déshabillés, peignoirs de bain, robes de chambre et articles simil., de coton, pour femmes ou fillettes (autres qu'en bonneterie et sauf combinaisons ou fonds de robes, jupons, chemises de nuit, pyjamas, so</t>
  </si>
  <si>
    <t>=t("   Gilets de corps, chemises de jour, slips, déshabillés, peignoirs de bain, robes de chambre et articles simil., de matières textiles, pour femmes ou fillettes (autres que de coton, fibres synthétiques ou artificielles, autres qu'en bonneterie et sau</t>
  </si>
  <si>
    <t>=t("   Vêtements de tissus, autres qu'en bonneterie, caoutchoutés ou imprégnés, enduits ou recouverts de matière plastique ou d'autres substances, pour hommes ou garçonnets (autres que vêtements des types du n° 6201.11 à 6201.19 [manteaux, cabans, capes e</t>
  </si>
  <si>
    <t>=t("   Vêtements de tissus, autres qu'en bonneterie, caoutchoutés ou imprégnés, enduits ou recouverts de matière plastique ou d'autres substances, pour femmes ou fillettes (autres que vêtements des types du n° 6202.11 à 6202.19 [manteaux, cabans, capes et</t>
  </si>
  <si>
    <t>=t("   Corsets, bretelles, jarretelles, jarretières et simil. et leurs parties, y.c. parties de soutiens-gorge, gaines, gaines-culottes et combinés, en tous types de matières textiles, même élastiques et même en bonneterie (sauf soutiens-gorge, gaines, ga</t>
  </si>
  <si>
    <t>=t("   Couvertures de matières textiles (autres que de laine ou poils fins, coton ou fibres synthétiques et que chauffantes électriques et sauf linge de table, couvre-lits, linge de lit et les articles simil. du n° 9404 [sommiers et autres articles de lit</t>
  </si>
  <si>
    <t xml:space="preserve">=t("   Articles d'ameublement en bonneterie (sauf couvertures, linge de lit, linge de table, linge de toilette et de cuisine, vitrages, rideaux, stores d'intérieur, cantonnières et tours de lit, couvre-lits, abat-jour et les articles du n° 9404 [sommiers </t>
  </si>
  <si>
    <t xml:space="preserve">=t("   Articles d'ameublement, de fibres synthétiques (autres qu'en bonneterie et sauf couvertures, linge de lit, linge de table, linge de toilette et de cuisine, vitrages, rideaux, stores d'intérieur, cantonnières et tours de lit, couvre-lits, abat-jour </t>
  </si>
  <si>
    <t>=t("   Articles d'ameublement, de matières textiles (autres que de coton ou fibres synthétiques, autres qu'en bonneterie et sauf couvertures, linge de lit, linge de table, linge de toilette et de cuisine, vitrages, rideaux, stores d'intérieur, cantonnière</t>
  </si>
  <si>
    <t>=t("   Articles de friperie composés de vêtements, accessoires du vêtement, couvertures, linge de maison et articles d'aménagement intérieur, en tous types de matières textiles, y.c. les chaussures et coiffures de tous genres, manifestement usagés et prés</t>
  </si>
  <si>
    <t>=t("   Chaussures étanches, à semelles extérieures et dessus en caoutchouc ou en matière plastique, dont le dessus n'a été ni réuni à la semelle extérieure par couture ou par rivets, clous, vis, tétons ou dispositifs simil., ni formé de différentes partie</t>
  </si>
  <si>
    <t xml:space="preserve">=t("   CHAUSSURES ÉTANCHES, À SEMELLES EXTÉRIEURES ET DESSUS EN CAOUTCHOUC OU EN MATIÈRE PLASTIQUE, DONT LE DESSUS N'A ÉTÉ NI RÉUNI À LA SEMELLE EXTÉRIEURE PAR COUTURE OU PAR RIVETS, CLOUS OU DISPOSITIFS SIMIL., NI FORMÉ DE DIFFÉRENTES PARTIES ASSEMBLÉES </t>
  </si>
  <si>
    <t>=t("   Chaussures de sport à semelles extérieures et dessus en caoutchouc ou en matière plastique (sauf chaussures étanches du n° 6401, chaussures de ski, chaussures pour le surf des neiges et chaussures auxquelles sont fixés des patins à glace ou à roule</t>
  </si>
  <si>
    <t xml:space="preserve">=t("   Chaussures à semelles extérieures et dessus en caoutchouc ou en matières plastiques, comportant à l'avant, une coquille de protection en métal (sauf chaussures étanches à semelles extérieures et dessus en caoutchouc ou matières plastiques, dont le </t>
  </si>
  <si>
    <t>=t("   CHAUSSURES À SEMELLES EXTÉRIEURES ET DESSUS EN CAOUTCHOUC OU EN MATIÈRES PLASTIQUES (SAUF COUVRANT LA CHEVILLE OU À DESSUS EN LANIÈRES OU BRIDES FIXÉES À LA SEMELLE PAR DES TÉTONS AINSI QUE DES CHAUSSURES ÉTANCHES DU N° 6401, DES CHAUSSURES D'ORTHO</t>
  </si>
  <si>
    <t>=t("   Chaussures de sport à semelles extérieures en caoutchouc, matière plastique, cuir naturel ou reconstitué et dessus en cuir naturel (sauf chaussures de ski, chaussures pour le surf des neiges et chaussures auxquelles sont fixés des patins à glace ou</t>
  </si>
  <si>
    <t>=t("   CHAUSSURES À SEMELLES EXTÉRIEURES ET DESSUS EN CUIR NATUREL (NE COUVRANT PAS LA CHEVILLE, SANS COQUILLE DE PROTECTION EN MÉTAL À L'AVANT ET À L'EXCL. DES CHAUSSURES À DESSUS EN LANIÈRES DE CUIR NATUREL PASSANT SUR LE COU-DE-PIED ET ENTOURANT LE GRO</t>
  </si>
  <si>
    <t>=t("   Chaussures à semelles extérieures en caoutchouc, matière plastique ou cuir reconstitué, à dessus en cuir naturel, couvrant la cheville (sauf avec coquille de protection en métal à l'avant et sauf chaussures de sport, d'orthopédie ou ayant le caract</t>
  </si>
  <si>
    <t>=t("   CHAUSSURES À SEMELLES EXTÉRIEURES EN CAOUTCHOUC, MATIÈRE PLASTIQUE OU CUIR RECONSTITUÉ, À DESSUS EN CUIR NATUREL (NE COUVRANT PAS LA CHEVILLE, SANS COQUILLE DE PROTECTION EN MÉTAL À L'AVANT ET SAUF CHAUSSURES DE SPORT, D'ORTHOPÉDIE OU AYANT LE CARA</t>
  </si>
  <si>
    <t>=t("   Chaussures à semelles extérieures en caoutchouc ou en matière plastique et à dessus en matières textiles (sauf chaussures de sport, y.c. chaussures dites de tennis, de basket-ball, de gymnastique, d'entraînement et chaussures simil. ainsi que chaus</t>
  </si>
  <si>
    <t>=t("   CHAUSSURES À SEMELLES EXTÉRIEURES EN CAOUTCHOUC OU EN MATIÈRE PLASTIQUE ET À DESSUS EN AUTRES MATIÈRES QUE CAOUTCHOUC, MATIÈRE PLASTIQUE, CUIR OU MATIÈRES TEXTILES; CHAUSSURES À SEMELLES EXTÉRIEURES EN CUIR NATUREL OU RECONSTITUÉ ET À DESSUS EN D'A</t>
  </si>
  <si>
    <t>=t("   Chapeaux et autres coiffures en bonneterie ou confectionnés à l'aide de dentelles, feutre ou autres produits textiles, en pièces -mais non en bandes-, même garnis (sauf résilles, filets à cheveux et coiffures pour animaux ou ayant le caractère de j</t>
  </si>
  <si>
    <t>=t("   BONNETS DE BAIN, CAPUCHONS ET AUTRES COIFFURES, MÊME GARNIS, EN CAOUTCHOUC OU EN MATIÈRE PLASTIQUE (À L'EXCL. DES COIFFURES DE SÉCURITÉ ET DES COIFFURES AYANT LE CARACTÈRE DE JOUETS OU D'ARTICLES DE CARNAVAL) [01/01/1988-31/12/1994: BONNETS DE BAIN</t>
  </si>
  <si>
    <t>=t("   Carreaux, cubes, dés et autres pierres naturelles travaillées, y.c. l'ardoise, pour mosaïques et ouvrages analogues, même de forme autre que carrée ou rectangulaire, dont la plus grande surface peut être inscrite dans un carré de côté &lt; 7 cm; granu</t>
  </si>
  <si>
    <t>=t("   Marbre, travertin et albâtre, ouvrages en ces pierres, simplement taillés ou sciés et à surface plane ou unie (sauf à surface entièrement ou partiellement rabotée, poncée au papier sablé, grossièrement ou finement meulée ou polie; non du n° 6801.00</t>
  </si>
  <si>
    <t>=t("   Pierres de taille ou de construction, naturelles, autres que les pierres calcaires, le granit et l'ardoise et ouvrages en ces pierres, simplement taillées ou sciées et à surface plane ou unie (sauf à surface entièrement ou partiellement rabotée, po</t>
  </si>
  <si>
    <t>=t("   Marbre, travertin et albâtre de n'importe quelle forme, polis, décorés ou autrement travaillés (sauf ouvrages du n° 6801.00.00 ou 6802.10.00; bijoux de fantaisie; pendules et articles d'horlogerie, appareils d'éclairage et leurs parties; boutons; o</t>
  </si>
  <si>
    <t>=t("   PIERRES DE TAILLE OU DE CONSTRUCTION, NATURELLES, AUTRES QUE LES PIERRES CALCAIRES, LE GRANIT, L'ARDOISE, DE N'IMPORTE QUELLE FORME, POLIES, DÉCORÉES OU AUTREMENT TRAVAILLÉES (SAUF OUVRAGES DU 6802.10; ARTICLES EN BASALTE FONDU OU EN STÉATITE CÉRAM</t>
  </si>
  <si>
    <t xml:space="preserve">=t("   Meules et articles simil., sans bâtis, à aiguiser, polir, rectifier, trancher ou tronçonner en diamants naturels ou synthétiques agglomérés (sauf pierres à aiguiser ou à polir à la main et sauf meules, etc. spécialement travaillées pour fraises de </t>
  </si>
  <si>
    <t>=t("   Meules et articles simil., sans bâtis, à broyer, aiguiser, polir, rectifier, trancher ou tronçonner, en abrasifs agglomérés ou en céramique (sauf diamants naturels ou synthétiques agglomérés et sauf pierres à aiguiser ou à polir à la main, la pierr</t>
  </si>
  <si>
    <t xml:space="preserve">=t("   Meules et articles simil., sans bâtis, à broyer, aiguiser, polir, rectifier, trancher ou tronçonner, en pierres naturelles (sauf en abrasifs naturels agglomérés ou en céramique, sauf la pierre ponce parfumée et sauf pierres à aiguiser et à polir à </t>
  </si>
  <si>
    <t>=t("   Mélanges et ouvrages en matières minérales à usage d'isolants thermiques ou sonores ou pour l'absorption du son (sauf laines de laitier, de scories, de roche et laines minérales simil.; vermiculite expansée, argile expansée, mousse de scories et pr</t>
  </si>
  <si>
    <t xml:space="preserve">=t("   Planches, plaques, panneaux, carreaux et articles simil., en plâtre ou en compositions à base de plâtre, non ornementés (sauf revêtus ou renforcés de papier ou de carton uniquement et sauf ouvrages à liaison en plâtre à usage d'isolants thermiques </t>
  </si>
  <si>
    <t>=t("   Ouvrages en plâtre ou en compositions à base de plâtre (sauf plâtre en bandes et attelles en plâtre pour le traitement de fractures des os; cloisons légères ou ouvrages à usage d'isolants thermiques ou sonores ou pour l'absorption du son, à liaison</t>
  </si>
  <si>
    <t>=t("   Garnitures de friction [p.ex. plaques, rouleaux, bandes, segments, disques, rondelles, plaquettes], pour embrayages ou autres organes de frottement, à base d'amiante, d'autres substances minérales ou de cellulose, même combinées à des matières text</t>
  </si>
  <si>
    <t>=t("   Briques, dalles, carreaux et pièces céramiques de construction analogues, réfractaires, teneur en poids en alumine -Al2O3-, silice SiO2, ou un mélange ou combinaison de ces matières &gt; 50% (autres que ceux en farines siliceuses fossiles ou en terres</t>
  </si>
  <si>
    <t>=t("   Briques, dalles, carreaux et pièces céramiques de construction analogues, réfractaires (autres qu'avec une teneur en poids en éléments Mg, Ca ou Cr pris isolément ou ensemble et exprimés en MgO, CaO ou Cr2O3 &gt; 50% ou avec une teneur en poids en alu</t>
  </si>
  <si>
    <t>=t("   Cornues, creusets, moufles, busettes, tampons, supports, coupelles, tubes, tuyaux, gaines et autres articles céramiques réfractaires à teneur en poids en graphite ou en autre carbone, même mélangés &gt; 50% (sauf briques, dalles, carreaux et pièces cé</t>
  </si>
  <si>
    <t>=t("   Hourdis, cache-poutrelles et articles simil. en céramique (sauf produits en farines siliceuses fossiles ou en terres siliceuses analogues, sauf les briques réfractaires du n° 6902, les carreaux, pavés en pierre calcinée, les dalles de pavement et d</t>
  </si>
  <si>
    <t>=t("   Tuiles, éléments de cheminée, conduits de fumée, ornements architectoniques et autres poteries de bâtiment, en céramique (autres qu'en farines siliceuses fossiles ou en terres siliceuses analogues, sauf pièces céramiques de construction et sauf tuy</t>
  </si>
  <si>
    <t>=t("   Tuyaux, conduits, gouttières et pièces d'assemblage pour tuyaux, pièces d'obturation de tuyaux, raccords de tuyaux et autres accessoires de tuyauterie, en céramique (sauf articles en farines siliceuses fossiles ou en terres siliceuses analogues; ar</t>
  </si>
  <si>
    <t xml:space="preserve">=t("   CARREAUX ET DALLES DE PAVEMENT ET DE REVÊTEMENT, EN CÉRAMIQUE, NON-VERNISSÉS NI ÉMAILLÉS (SAUF ARTICLES EN FARINES SILICEUSES FOSSILES OU EN TERRES SILICEUSES ANALOGUES, ARTICLES CÉRAMIQUES RÉFRACTAIRES, CARREAUX SERVANT DE DESSOUS-DE-PLAT, OBJETS </t>
  </si>
  <si>
    <t>=t("   Carreaux et dalles de pavement ou de revêtement, en céramique, vernissés ou émaillés (sauf articles en farines siliceuses fossiles ou en terres siliceuses analogues, articles céramiques réfractaires, carreaux servant de dessous-de-plat, objets d'or</t>
  </si>
  <si>
    <t xml:space="preserve">=t("   ÉVIERS, LAVABOS, COLONNES DE LAVABOS, BAIGNOIRES, BIDETS, CUVETTES D'AISANCE, RÉSERVOIRS DE CHASSE, URINOIRS ET APPAREILS FIXES SIMIL. POUR USAGES SANITAIRES, EN PORCELAINE (SAUF PORTE-SAVON, PORTE-ÉPONGE, PORTE-BROSSE À DENTS, PORTE-SERVIETTES ET </t>
  </si>
  <si>
    <t>=t("   ÉVIERS, LAVABOS, COLONNES DE LAVABOS, BAIGNOIRES, BIDETS, CUVETTES D'AISANCE, RÉSERVOIRS DE CHASSE, URINOIRS ET APPAREILS FIXES SIMIL. POUR USAGES SANITAIRES EN CÉRAMIQUE (AUTRES QU'EN PORCELAINE ET SAUF PORTE-SAVON, PORTE-ÉPONGE, PORTE-BROSSE À DE</t>
  </si>
  <si>
    <t>=t("   Articles pour le service de la table ou de la cuisine en porcelaine (sauf objets d'ornementation; cruchons, cornues et récipients simil. de transport ou d'emballage; moulins à café et moulins à épices avec récipient en céramique et élément de trava</t>
  </si>
  <si>
    <t>=t("   Vaisselle et autres articles de ménage ou d'économie domestique et articles d'hygiène et de toilette en porcelaine (sauf articles pour le service de table ou de cuisine; baignoires, éviers et autres appareils fixes simil.; statuettes et autres obje</t>
  </si>
  <si>
    <t>=t("   Vaisselle, autres articles de ménage ou d'économie domestique et articles d'hygiène ou de toilette en céramique, autres que la porcelaine (sauf baignoires, bidets, éviers et autres appareils fixes simil.; statuettes et autres objets d'ornementation</t>
  </si>
  <si>
    <t>=t("   PLAQUES OU FEUILLES EN GLACE [VERRE FLOTTÉ ET VERRE DOUCI SUR UNE OU DEUX FACES], COLORÉE DANS LA MASSE, OPACIFIÉE, PLAQUÉE [DOUBLÉE] OU SIMPL. DOUCIE, MAIS NON AUTREMENT TRAVAILLÉE (AUTRE QU'ARMÉE ET AUTRE QU'À COUCHE ABSORBANTE, RÉFLÉCHISSANTE OU</t>
  </si>
  <si>
    <t>=t("   PLAQUES OU FEUILLES EN GLACE [VERRE FLOTTÉ ET VERRE DOUCI ET POLI SUR UNE OU DEUX FACES], NON AUTREMENT TRAVAILLÉE (AUTRE QU'ARMÉE, COLORÉE DANS LA MASSE, OPACIFIÉE, PLAQUÉE [DOUBLÉE] OU SIMPL. DOUCIE, OU À COUCHE ABSORBANTE, RÉFLÉCHISSANTE OU NON-</t>
  </si>
  <si>
    <t xml:space="preserve">=t("   PLAQUES, FEUILLES OU PROFILÉS EN VERRE, MÊME À COUCHE ABSORBANTE, RÉFLÉCHISSANTE OU NON-RÉFLÉCHISSANTE, COURBÉ, BISEAUTÉ, GRAVÉ, PERCÉ, ÉMAILLÉ OU AUTREMENT TRAVAILLÉ MAIS NON-ENCADRÉ NI ASSOCIÉ À D'AUTRES MATIÈRES (SAUF VERRE DE SÉCURITÉ, VITRAGE </t>
  </si>
  <si>
    <t>=t("   VERRES TREMPÉS (À L'EXCL. DES VERRES DE LUNETTERIE OU D'HORLOGERIE AINSI QUE DES VERRES DE DIMENSIONS ET FORMATS PERMETTANT LEUR EMPLOI DANS LES AUTOMOBILES, VÉHICULES AÉRIENS, BATEAUX OU AUTRES VÉHICULES) [01/01/1988-31/12/1988: VERRES TREMPES, -D</t>
  </si>
  <si>
    <t>=t("   VERRES FORMÉS DE FEUILLES CONTRECOLLÉES, DE DIMENSIONS ET FORMATS PERMETTANT LEUR EMPLOI DANS LES AUTOMOBILES, VÉHICULES AÉRIENS, BATEAUX OU AUTRES VÉHICULES (À L'EXCL. DES VITRAGES ISOLANTS À PAROIS MULTIPLES) [01/01/1988-31/12/1988: PARE-BRISE FO</t>
  </si>
  <si>
    <t>=t("   VERRE FORMÉ DE FEUILLES CONTRECOLLÉES, DE SÉCURITÉ (AUTRES QUE DES DIMENSIONS ET FORMES PERMETTANT SON EMPLOI DANS LES VÉHICULES AUTOMOBILES, VÉHICULES AÉRIENS, BATEAUX OU AUTRES VÉHICULES ET SAUF VITRAGE ISOLANT À PAROIS MULTIPLES) [01/01/1988-31/</t>
  </si>
  <si>
    <t>=t("   Bonbonnes, bouteilles, flacons, bocaux, pots, emballages tubulaires et autres récipients en verre pour le transport ou l'emballage commercial et bocaux à conserves en verre (sauf ampoules, bouteilles isolantes et récipients dont l'isolation est ass</t>
  </si>
  <si>
    <t xml:space="preserve">=t("   BONBONNES, BOUTEILLES, FLACONS, BOCAUX, POTS, EMBALLAGES TUBULAIRES ET AUTRES RÉCIPIENTS EN VERRE POUR LE TRANSPORT OU L'EMBALLAGE COMMERCIAL ET BOCAUX A CONSERVES EN VERRE, D'UNE CONTENANCE &gt; 1 L (SAUF AMPOULES, BOUTEILLES ISOLANTES ET RÉCIPIENTS </t>
  </si>
  <si>
    <t>=t("   BONBONNES, BOUTEILLES, FLACONS, BOCAUX, POTS, EMBALLAGES TUBULAIRES ET AUTRES RÉCIPIENTS EN VERRE POUR LE TRANSPORT OU L'EMBALLAGE COMMERCIAL ET BOCAUX A CONSERVES EN VERRE, D'UNE CONTENANCE &gt; 0,33 L MAIS &lt;= 1 L (SAUF AMPOULES, BOUTEILLES ISOLANTES</t>
  </si>
  <si>
    <t>=t("   BONBONNES, BOUTEILLES, FLACONS, BOCAUX, POTS, EMBALLAGES TUBULAIRES ET AUTRES RÉCIPIENTS EN VERRE POUR LE TRANSPORT OU L'EMBALLAGE COMMERCIAL ET BOCAUX A CONSERVES EN VERRE, D'UNE CONTENANCE &lt;= 0,15 L (SAUF AMPOULES, BOUTEILLES ISOLANTES ET RÉCIPIE</t>
  </si>
  <si>
    <t>=t("   Objets en vitrocérame, pour le service de la table, pour la cuisine, la toilette, le bureau, la décoration intérieure ou usages simil. (autres que les perles de verre et articles simil. de verroterie du n° 7018 et sauf les plaques de cuisson, les v</t>
  </si>
  <si>
    <t>=t("   Objets en cristal au plomb pour le service de la table ou pour la cuisine (autres que les perles de verre et articles simil. de verroterie du n° 7018 et sauf verres à boire, bocaux à conserves en verre, bouteilles isolantes et autres récipients don</t>
  </si>
  <si>
    <t xml:space="preserve">=t("   Objets en verre, pour le service de la table ou la cuisine, d'un coefficient de dilatation linéaire &lt;= 5 x 10-6 par kelvin entre 0°C et 300°C (autres que les articles en vitrocérame ou en cristal de plomb, les perles de verre et articles simil. de </t>
  </si>
  <si>
    <t>=t("   Objets en verre, pour le service de la table ou pour la cuisine (autres qu'à coefficient de dilatation linéaire &lt;= 5 x 10-6 par kelvin entre 0°C et 300°C, sauf articles en vitrocérame ou en cristal au plomb, perles de verre et articles simil. de ve</t>
  </si>
  <si>
    <t>=t("   Objets en cristal au plomb pour la toilette, le bureau, la décoration intérieure et usages simil. (autres que pour le service de la table ou pour la cuisine, autres que les perles en verre et articles simil. de verroterie du n° 7018 et sauf miroirs</t>
  </si>
  <si>
    <t>=t("   Objets en verre pour la toilette, le bureau, la décoration intérieure et usages simil. (autres qu'en cristal au plomb et autres que pour le service de la table ou pour la cuisine, autres que les perles en verre et articles simil. de verroterie du n</t>
  </si>
  <si>
    <t>=t("   Verrerie de signalisation et éléments d'optique en verre mais non travaillés optiquement (autres que le verre d'horlogerie et le verre analogue, les verres de lunetterie commune ou médicale, y.c. les sphères -boules- creuses et les segments pour la</t>
  </si>
  <si>
    <t>=t("   Pavés, briques, carreaux, tuiles et autres articles, en verre pressé ou moulé, même armé, pour le bâtiment ou la construction; verres assemblés en vitraux; verre -multicellulaire- ou verre -mousse- en blocs, panneaux, plaques, coquilles ou formes s</t>
  </si>
  <si>
    <t>=t("   Verrerie de laboratoire, d'hygiène ou de pharmacie, même graduée ou jaugée, en quartz ou en autre silice fondus (sauf récipients de transport ou d'emballage et sauf instruments, appareils et matériel de mesure ou de contrôle, et instruments, appare</t>
  </si>
  <si>
    <t>=t("   Verrerie de laboratoire, d'hygiène ou de pharmacie, même graduée ou jaugée, en verre d'un coefficient de dilatation linéaire &lt;= 5 x 10-6 par kelvin entre 0°C et 300°C (sauf en quartz ou en autre silice fondus, sauf récipients de transport ou d'emba</t>
  </si>
  <si>
    <t>=t("   Verrerie de laboratoire, d'hygiène ou de pharmacie, même graduée ou jaugée (sauf en verre à coefficient de dilatation linéaire &lt;= 5 x 10-6 par kelvin entre 0°C et 300°C, ou en quartz ou autres silices fondus, sauf récipients de transport ou d'embal</t>
  </si>
  <si>
    <t xml:space="preserve">=t("   Perles de verre, imitations de perles fines ou de culture, imitations de pierres gemmes et articles simil. de verroterie et leurs ouvrages (autres que la bijouterie de fantaisie); yeux en verre (autres que de prothèse); statuettes et autres objets </t>
  </si>
  <si>
    <t>=t("   Yeux en verre, autres que de prothèse; ouvrages en perles de verre ou en imitations de perles fines ou de culture, en imitations de pierres gemmes ou en d'autres articles de verroterie, statuettes et autres objets d'ornementation, en verre travaill</t>
  </si>
  <si>
    <t>=t("   FIBRES DE VERRE, Y.C. LA LAINE DE VERRE, ET OUVRAGES EN CES MATIÈRES (SAUF FIBRES DISCONTINUES; STRATIFILS 'ROVINGS', MÈCHES ET FILS; LAINE DE VERRE COUPÉE; TISSUS, Y.C. LES RUBANS; VOILES, MATS, NAPPES, PANNEAUX ET PRODUITS SIMIL. NON-TISSÉS; LAIN</t>
  </si>
  <si>
    <t>=t("   Articles d'orfèvrerie et leurs parties, en plaqués ou doublés de métaux précieux sur métaux communs (à l'excl. des articles de bijouterie ou de joaillerie, des articles d'horlogerie, instruments de musique, armes, pulvérisateurs de parfum et leur t</t>
  </si>
  <si>
    <t>=t("   DÉCHETS ET DÉBRIS DE FER OU D'ACIER [FERRAILLES] (SAUF DÉCHETS ET DÉBRIS RADIOACTIFS ET DE PILES, DE BATTERIES DE PILES ET D'ACCUMULATEURS ÉLECTRIQUES; SCORIES, LAITIERS ET AUTRES DÉCHETS DE LA FABRICATION DU FER OU DE L'ACIER; MORCEAUX PROVENANT D</t>
  </si>
  <si>
    <t>=t("   PRODUITS LAMINÉS PLATS, EN FER OU EN ACIERS NON-ALLIÉS, D'UNE LARGEUR &gt;= 600 MM, LAMINÉS À CHAUD OU À FROID, PLAQUÉS OU REVÊTUS (À L'EXCL. DES PRODUITS ÉTAMÉS, PLOMBÉS, ZINGUÉS, PEINTS, VERNIS OU REVÊTUS D'ALUMINIUM, DE MATIÈRES PLASTIQUES OU D'OXY</t>
  </si>
  <si>
    <t>=t("   FIL MACHINE EN FER OU ACIERS NON-ALLIÉS, ENROULÉ EN COURONNES IRRÉGULIÈRES (AUTRE QUE DE SECTION CIRCULAIRE DE DIAMÈTRE &lt; 14 MM, AUTRE QUE FIL MACHINE EN ACIERS DE DÉCOLLETAGE, OU AVEC INDENTATIONS, BOURRELETS, CREUX OU RELIEFS OBTENUS LORS DU LAMI</t>
  </si>
  <si>
    <t>=t("   BARRES EN FER OU EN ACIERS NON-ALLIÉS, SIMPL. LAMINÉES OU FILÉES À CHAUD, DE SECTION TRANSVERSALE RECTANGULAIRE (À L'EXCL. DES BARRES EN ACIERS DE DÉCOLLETAGE AINSI QUE DES BARRES COMPORTANT DES INDENTATIONS, BOURRELETS, CREUX OU RELIEFS OBTENUS AU</t>
  </si>
  <si>
    <t>=t("   BARRES EN FER OU EN ACIERS NON-ALLIÉS, SIMPL. LAMINÉES OU FILÉES À CHAUD (À L'EXCL. DE SECTION TRANSVERSALE RECTANGULAIRE, DES BARRES COMPORTANT DES INDENTATIONS, BOURRELETS, CREUX OU RELIEFS OBTENUS AU COURS DU LAMINAGE OU AYANT SUBI UNE TORSION A</t>
  </si>
  <si>
    <t>=t("   Profilés en fer ou en aciers non alliés, obtenus ou parachevés à froid et ayant subi certaines ouvraisons plus poussées (autres que obtenus à partir de produits laminés plats) ou simplement forgés ou forgés ou autrement obtenus à chaud et ayant sub</t>
  </si>
  <si>
    <t xml:space="preserve">=t("   Traverses, contre-rails et crémaillères, coussinets, coins, plaques de serrage, plaques et barres d'écartement et autres éléments de voies ferrées spécialements conçus pour la pose, le jointement ou la fixation des rails, en fonte, fer ou acier (à </t>
  </si>
  <si>
    <t>=t("   TUBES, TUYAUX ET PROFILÉS CREUX SANS SOUDURE, DE SECTION CIRCULAIRE, EN FER (À L'EXCL. DE LA FONTE) OU ACIERS NON-ALLIÉS, ÉTIRÉS OU LAMINÉS À FROID (SAUF TUBES ET TUYAUX DES TYPES UTILISÉS POUR LES OLÉODUCS OU GAZODUCS OU POUR L'EXTRACTION DU PÉTRO</t>
  </si>
  <si>
    <t>=t("   TUBES, TUYAUX ET PROFILÉS CREUX, SANS SOUDURE, DE SECTION CIRCULAIRE, EN FER (À L'EXCL. DE LA FONTE) OU EN ACIERS NON-ALLIÉS, NON-ÉTIRÉS OU LAMINÉS À FROID (À L'EXCL. DES TUBES, TUYAUX ET PROFILÉS CREUX DES TYPES UTILISÉS POUR LES OLÉODUCS ET LES G</t>
  </si>
  <si>
    <t>=t("   TUBES, TUYAUX ET PROFILÉS CREUX SOUDÉS, DE SECTION CIRCULAIRE, EN FER OU ACIERS NON-ALLIÉS (SAUF TUBES DE SECTIONS INTÉRIEURE ET EXTÉRIEURE CIRCULAIRES ET DE DIAMÈTRE EXTÉRIEUR &gt; 406,4 MM ET SAUF TUBES DES TYPES UTILISÉS POUR LES OLÉODUCS OU LES GA</t>
  </si>
  <si>
    <t>=t("   Tubes, tuyaux et profilés creux soudés, de section circulaire, en aciers inoxydables (autres que tubes à sections intérieure et extérieure circulaires et à diamètre extérieur &gt; 406,4 mm et sauf tubes des types utilisés pour les oléoducs et les gazo</t>
  </si>
  <si>
    <t>=t("   Tubes, tuyaux et profilés creux soudés, de section circulaire, en aciers alliés autres qu'inoxydables (autres que tubes de sections intérieure et extérieure circulaires et d'un diamètre extérieur &gt; 406,4 mm et sauf tubes des types utilisés pour les</t>
  </si>
  <si>
    <t>=t("   Tubes, tuyaux et profilés creux soudés, de section autre que circulaire, en fer ou en acier (autres que tubes à sections intérieure et extérieure circulaires et d'un diamètre extérieur &gt; 406,4 mm et sauf tubes des types utilisés pour les oléoducs e</t>
  </si>
  <si>
    <t>=t("   Constructions et parties de constructions, en fonte, fer ou acier, n.d.a. (à l'excl. des ponts et éléments de ponts, tours et pylônes, portes et fenêtres et leurs cadres, chambranles et seuils, et à l'excl. du matériel d'échafaudage, de coffrage et</t>
  </si>
  <si>
    <t>=t("   Réservoirs, foudres, cuves et récipients simil. en fonte, fer ou acier, pour toutes matières (à l'excl. des gaz comprimés ou liquéfiés), d'une contenance &gt; 300 l, sans dispositifs mécaniques ou thermiques, même avec revêtement intérieur ou calorifu</t>
  </si>
  <si>
    <t>=t("   Toiles métalliques tissés, y.c. les toiles continues ou sans fin, en fils de fer ou d'aciers autres qu'inoxydables (à l'excl. des toiles en fils métalliques des types utilisés pour vêtements, aménagements intérieurs et usages simil. et sauf les toi</t>
  </si>
  <si>
    <t>=t("   Chaînes et chaînettes en fonte, fer ou acier (sauf chaînes à maillons articulés, antidérapantes, à maillons à étais, à maillons soudés, et leurs parties; chaînes et chaînettes de montres, d'horloges ou de bijouterie; chaînes dentées et à scie; chen</t>
  </si>
  <si>
    <t>=t("   Vis et boulons filetés, en fonte, fer ou acier, même avec leurs écrous ou rondelles (à l'excl. des tire-fond et autres vis à bois, crochets et pitons à pas de vis, vis autotaraudeuses, clous taraudeurs ainsi que des chevilles vissées, tampons et ar</t>
  </si>
  <si>
    <t>=t("   RESSORTS ET LAMES DE RESSORTS EN FER OU EN ACIER, Y.C. LES RESSORTS SPIRAUX PLATS (À L'EXCL. DES RESSORTS EN HÉLICE, RESSORTS SPIRAUX, RESSORTS À LAMES ET LEURS LAMES, RESSORTS DE MONTRES, RONDELLES-RESSORTS, RONDELLES ÉLASTIQUES ET SAUF RESSORTS-A</t>
  </si>
  <si>
    <t>=t("   Appareils de cuisson tels que foyers de cuisson, barbecues, grilloirs, réchauds et cuisinières, ainsi que chauffe-plats, à usage domestique, en fonte, fer ou acier, à combustibles gazeux ou à gaz et autres combustibles (à l'excl. des appareils dest</t>
  </si>
  <si>
    <t>=t("   Appareils de cuisson tels que foyers de cuisson, barbecues, grilloirs, réchauds et cuisinières, ainsi que chauffe-plats, à usage domestique, en fonte, fer ou acier, à combustibles liquides (à l'excl. des appareils destinés à la cuisine à grande éch</t>
  </si>
  <si>
    <t>=t("   Poêles, chaudières à foyer, foyers de lessiveuses, chaudières avec foyer pour la lessive, braseros et appareils ménagers simil., en fonte, fer ou acier, à combustibles gazeux ou à gaz et autres combustibles (à l'excl. des appareils de cuisson, chau</t>
  </si>
  <si>
    <t xml:space="preserve">=t("   Articles de ménage ou d'économie domestique et leurs parties, en fonte non émaillée (à l'excl. des bidons, boîtes et récipients simil. du n° 7310; poubelles; gaufriers et autres articles ayant le caractère d'outils; cuillers, louches, fourchettes, </t>
  </si>
  <si>
    <t>=t("   Articles de ménage ou d'économie domestique et leurs parties, en fonte émaillée (à l'excl. des bidons, boîtes et récipients simil. du n° 7310; poubelles; pelles et autres articles à caractère d'outils; cuillers, louches, fourchettes, écumoires, pel</t>
  </si>
  <si>
    <t>=t("   Articles de ménage ou d'économie domestique et leurs parties, en aciers inoxydables (à l'excl. des bidons, boîtes et récipients simil. du n° 7310; poubelles; pelles, tire-bouchons et autres articles à caractère d'outils; coutellerie et cuillers, lo</t>
  </si>
  <si>
    <t>=t("   Articles de ménage ou d'économie domestique et leurs parties, en fer ou en aciers autres qu'inoxydables, émaillés (à l'excl. de la fonte; des bidons, boîtes et récipients simil. du n° 7310; poubelles; pelles et autres articles à caractère d'outils;</t>
  </si>
  <si>
    <t>=t("   Articles de ménage ou d'économie domestique et leurs parties, en fer ou aciers autres qu'inoxydables (sauf fonte et articles émaillés; bidons, boîtes et récipients simil. du n° 7310; poubelles; pelles, tire-bouchons et autres articles à caractère d</t>
  </si>
  <si>
    <t>=t("   Articles d'hygiène ou de toilette et leurs parties, en fonte, fer ou acier (à l'excl. des bidons, boîtes et récipients simil. du n° 7310, des petites armoires suspendues à pharmacie ou de toilette et autres meubles du chapitre 94, des éviers et lav</t>
  </si>
  <si>
    <t>=t("   FILS EN ALLIAGES DE CUIVRE (À L'EXCL. DES PRODUITS EN ALLIAGES À BASE DE CUIVRE-ZINC [LAITON], DE CUIVRE-NICKEL [CUPRONICKEL] OU DE CUIVRE-NICKEL-ZINC [MAILLECHORT]) [01/01/1988-31/12/1994: FILS EN ALLIAGES DE CUIVRE (SAUF EN ALLIAGES A BASE DE CUI</t>
  </si>
  <si>
    <t>=t("   ARTICLES DE MÉNAGE OU D'ÉCONOMIE DOMESTIQUE ET LEURS PARTIES, EN CUIVRE (SAUF ÉPONGES, TORCHONS, GANTS ET ARTICLES SIMIL.; BIDONS, BOÎTES ET RÉCIPIENTS SIMIL. DU N° 7419; ARTICLES À CARACTÈRE D'OUTILS; COUTELLERIE, CUILLERS, FOURCHETTES, ETC.; OBJE</t>
  </si>
  <si>
    <t>=t("   TORONS, CÂBLES, TRESSES ET ARTICLES SIMIL., EN ALUMINIUM (À L'EXCL. DES PRODUITS ISOLÉS POUR L'ÉLECTRICITÉ ET DES ARTICLES AVEC ÂME EN ACIER) [01/01/1988-31/12/1994: TORONS, CABLES, TRESSES ET SIMILAIRES, EN ALUMINIUM (SANS AME EN ACIER ET SAUF PRO</t>
  </si>
  <si>
    <t>=t("   Articles de ménage, d'économie domestique, et leurs parties, en aluminium (sauf éponges, torchons, gants et articles simil.; bidons, boîtes et récipients simil. du n° 7612; articles ayant le caractère d'outils, cuillers, louches, fourchettes et art</t>
  </si>
  <si>
    <t xml:space="preserve">=t("   Pointes, clous, crampons appointés, vis, boulons, écrous, crochets à pas de vis, rivets, goupilles, chevilles, clavettes, rondelles et simil., en aluminium(sauf agrafes présentées en barrettes et sauf chevilles vissées, tampons et articles simil., </t>
  </si>
  <si>
    <t>=t("   Faux et faucilles, couteaux à foin ou à paille et autres outils agricoles, horticoles ou forestiers, à main, avec partie travaillante en métaux communs (à l'excl. des bêches, pelles, fourches, pioches, pics, houes, binettes, râteaux, racloirs, hach</t>
  </si>
  <si>
    <t>=t("   LAMES DE SCIES, Y.C. LES LAMES DE SCIES NON-DENTÉES, EN MÉTAUX COMMUNS (À L'EXCL. DES LAMES DE SCIES À RUBAN, DES LAMES DE SCIES CIRCULAIRES, DES LAMES DE FRAISES-SCIES, DES CHAÎNES DE SCIE DITES -COUPANTES- ET SAUF LAMES DE SCIES DROITES POUR LE T</t>
  </si>
  <si>
    <t>=t("   Couteaux et lames tranchantes, en métaux communs, pour machines ou appareils mécaniques (sauf pour le travail du métal ou du bois, sauf pour appareils de cuisine ou pour machines de l'industrie alimentaire, et sauf pour machines agricoles, horticol</t>
  </si>
  <si>
    <t xml:space="preserve">=t("   APPAREILS MÉCANIQUES ACTIONNÉS À LA MAIN, EN MÉTAUX COMMUNS, D'UN POIDS &lt;= 10 KG, UTILISÉS POUR PRÉPARER, CONDITIONNER OU SERVIR LES ALIMENTS OU LES BOISSONS [01/01/1988-31/12/1994: APPAREILS MECANIQUES ACTIONNES A LA MAIN, EN METAUX COMMUNS, D'UN </t>
  </si>
  <si>
    <t>=t("   Couteaux à lame fixe en métaux communs (sauf couteaux à foin et à paille, coutelas et machettes, couteaux et lames tranchantes pour machines ou appareils mécaniques, couteaux à poisson, couteaux à beurre, petites et grandes lames de rasoirs et autr</t>
  </si>
  <si>
    <t>=t("   Cuillers, fourchettes, louches, écumoires, pelles à tartes, couteaux spéciaux à poisson ou à beurre, pinces à sucre et articles simil., en métaux communs, ni argentés, ni dorés, ni platinés (sauf en assortiments et sauf cisailles à volaille et à ho</t>
  </si>
  <si>
    <t>=t("   GARNITURES, FERRURES ET ARTICLES SIMIL. EN MÉTAUX COMMUNS (SAUF SERRURES ET VERROUS DE S¹RETÉ À CLEF, FERMOIRS ET MONTURES-FERMOIRS À SERRURE, CHARNIÈRES, ROULETTES, GARNITURES, FERRURES ET SIMIL. POUR BÂTIMENTS AINSI QUE GARNITURES, FERRURES ET AR</t>
  </si>
  <si>
    <t>=t("   Attache-lettres, coins de lettres, trombones, onglets de signalisation, et matériel de bureau similaire en métaux communs, y.c. les parties des articles du n° 8305 (à l'excl. des mécanismes complets pour reliure de feuillets mobiles ou pour classeu</t>
  </si>
  <si>
    <t xml:space="preserve">=t("   Plaques indicatrices, plaques-enseignes, plaques-adresses et plaques simil., chiffres, lettres et enseignes diverses, en métaux communs, y.c. les panneaux de signalisation routière (sauf les enseignes et plaques indicatrices lumineuses du n° 9405, </t>
  </si>
  <si>
    <t>=t("   Baguettes enrobées et fils fourrés en métaux communs, pour brasage ou soudage à la flamme (à l'excl. des fils et baguettes à âme décapante chez lesquels le métal de brasage, décapants et fondants non compris, contient &gt;= 2% en poids d'un métal préc</t>
  </si>
  <si>
    <t xml:space="preserve">=t("   Fils, baguettes, tubes, plaques, électrodes et articles simil. en métaux communs ou en carbures métalliques, enrobés ou fourrés de décapants ou de fondants, pour brasage, soudage ou dépôt de métal ou de carbures métalliques, n.d.a., ainsi que fils </t>
  </si>
  <si>
    <t xml:space="preserve">=t("   Générateurs de gaz à l'air ou de gaz à l'eau, avec ou sans leurs épurateurs; générateurs d'acétylène et générateurs simil. de gaz, par procédé à l'eau, avec ou sans leurs épurateurs (sauf fours à coke, générateurs de gaz par procédé électrolytique </t>
  </si>
  <si>
    <t>=t("   MOTEURS HORS-BORD À ALLUMAGE PAR ÉTINCELLES "MOTEURS À EXPLOSION" POUR LA PROPULSION DE BATEAUX")</t>
  </si>
  <si>
    <t>=t("   MOTEURS À PISTON ALTERNATIF OU ROTATIF, À ALLUMAGE PAR ÉTINCELLES "MOTEURS À EXPLOSION", POUR BATEAUX (SAUF MOTEURS HORS-BORD)")</t>
  </si>
  <si>
    <t>=t("   MOTEURS À PISTON ALTERNATIF À ALLUMAGE PAR ÉTINCELLES "MOTEURS À EXPLOSION", DES TYPES UTILISÉS POUR LA PROPULSION DES VÉHICULES DU CHAPITRE 87, CYLINDRÉE &gt; 50 CM³ MAIS &lt;= 250 CM³")</t>
  </si>
  <si>
    <t>=t("   MOTEURS À PISTON ALTERNATIF À ALLUMAGE PAR ÉTINCELLES "MOTEURS À EXPLOSION", DES TYPES UTILISÉS POUR LA PROPULSION DES VÉHICULES DU CHAPITRE 87, CYLINDRÉE &gt; 1000 CM³"")</t>
  </si>
  <si>
    <t>=t("   MOTEURS À PISTON ALTERNATIF OU ROTATIF, À ALLUMAGE PAR ÉTINCELLES "MOTEURS À EXPLOSION" (AUTRES QUE MOTEURS POUR AÉRONEFS, MOTEURS POUR LA PROPULSION DE BATEAUX ET AUTRES QUE LES MOTEURS À PISTON ALTERNATIF DES TYPES UTILISÉS POUR LA PROPULSION DES</t>
  </si>
  <si>
    <t>=t("   MOTEURS À PISTON, À ALLUMAGE PAR COMPRESSION "MOTEURS DIESEL OU SEMI-DIESEL", DES TYPES UTILISÉS POUR LA PROPULSION DES VÉHICULES DU CHAPITRE 87"")</t>
  </si>
  <si>
    <t>=t("   MOTEURS À PISTON, À ALLUMAGE PAR COMPRESSION "MOTEURS DIESEL OU SEMI-DIESEL" (AUTRES QUE MOTEURS DE PROPULSION POUR BATEAUX ET SAUF MOTEURS DES TYPES UTILISÉS POUR LA PROPULSION DES VÉHICULES DU CHAPITRE 87)")</t>
  </si>
  <si>
    <t>=t("   POMPES POUR LIQUIDES VOLUMÉTRIQUES ALTERNATIVES, À MOTEUR (SAUF POMPES AVEC DISPOSITIF MESUREUR OU CONÇUES POUR EN COMPORTER DU N° 8413.11 OU 8413.19, POMPES À CARBURANT, À HUILE OU À LIQUIDE DE REFROIDISSEMENT POUR MOTEURS À ALLUMAGE PAR ÉTINCELLE</t>
  </si>
  <si>
    <t>=t("   Pompes pour liquides volumétriques rotatives, à moteur (sauf pompes à dispositif mesureur ou conçues pour en comporter du n° 8413.11 ou 8413.19, sauf pompes à carburant, à huile ou à liquide de refroidissement pour moteurs à allumage par étincelles</t>
  </si>
  <si>
    <t>=t("   Pompes pour liquides centrifuges, à moteur (sauf pompes à dispositif mesureur ou conçues pour en comporter du n° 8413.11 ou 8413.19, pompes à carburant, à huile ou à liquide de refroidissement pour moteurs à allumage par étincelles ou par compressi</t>
  </si>
  <si>
    <t xml:space="preserve">=t("   Pompes pour liquides à moteur (sauf pompes à dispositif mesureur ou conçues pour en comporter du n° 8413.11 ou 8413.19, pompes à carburant, à huile ou à liquide de refroidissement pour moteurs à allumage par étincelles ou par compression, pompes à </t>
  </si>
  <si>
    <t>=t("   Pompes à air, compresseurs d'air ou d'autres gaz, hottes aspirantes à extraction ou à recyclage par filtre, à ventilateur incorporé, plus grand côté horizontal &gt; 120 cm (autres que pompes à vide, pompes à air à main ou à pied, compresseurs des type</t>
  </si>
  <si>
    <t>=t("   MACHINES ET APPAREILS POUR LE CONDITIONNEMENT DE L'AIR, FORMANT UN SEUL CORPS OU DU TYPE "SPLIT-SYSTEM" [SYSTÈMES À ÉLÉMENTS SÉPARÉS], DU TYPE MURAL OU POUR FENÊTRES"")</t>
  </si>
  <si>
    <t>=t("   Machines et appareils pour le conditionnement de l'air, avec dispositif de réfrigération et soupape d'inversion du cycle thermique [pompes à chaleur réversibles] (autres que machines et appareils du type de ceux utilisés pour le confort des personn</t>
  </si>
  <si>
    <t>=t("   Machines et appareils pour le conditionnement de l'air, avec dispositif de réfrigération mais sans soupape d'inversion du cycle thermique (autres que machines et appareils du type de ceux utilisés pour le confort des personnes dans les véhicules au</t>
  </si>
  <si>
    <t>=t("   Machines et appareils pour le conditionnement de l'air comprenant un ventilateur à moteur, sans dispositif de réfrigération mais bien des dispositifs propres à modifier la température et l'humidité de l'air (sauf machines et appareils du type de ce</t>
  </si>
  <si>
    <t>=t("   Fours industriels ou de laboratoire non-électriques, y.c. les incinérateurs (sauf fours pour le grillage, la fusion ou autres traitements thermiques de minerais, pyrite ou métaux, fours de boulangerie, de pâtisserie ou de biscuiterie et sauf étuves</t>
  </si>
  <si>
    <t>=t("   MEUBLES [COFFRES, ARMOIRES, VITRINES, COMPTOIRS ET SIMIL.] POUR LA CONSERVATION ET L'EXPOSITION DE PRODUITS, INCORPORANT UN ÉQUIPEMENT POUR LA PRODUCTION DU FROID (SAUF RÉFRIGÉRATEURS ET CONGÉLATEURS-CONSERVATEURS COMBINÉS, À PORTES EXTÉRIEURES SÉP</t>
  </si>
  <si>
    <t xml:space="preserve">=t("   Appareils et dispositifs, même chauffés électriquement, pour le traitement de matières par des opérations impliquant un changement de température telles que le chauffage, la cuisson, la torréfaction, la stérilisation, la pasteurisation, l'étuvage, </t>
  </si>
  <si>
    <t>=t("   Machines et appareils à empaqueter ou à emballer les marchandises, y.c. les machines et appareils à emballer sous film thermorétractable (à l'excl. des machines et appareils à remplir, fermer, boucher ou étiqueter les bouteilles, boîtes, sacs ou au</t>
  </si>
  <si>
    <t>=t("   Appareils et instruments de pesage, portée &lt;= 30 kg (à l'excl. des balances sensibles à un poids de 50 mg ou moins, des pèse-personnes, balances de ménage, balances à pesage continu sur transporteurs et sauf balances et bascules ensacheuses ou dose</t>
  </si>
  <si>
    <t>=t("   PISTOLETS AÉROGRAPHES ET APPAREILS SIMIL. (À L'EXCL. DES MACHINES ET APPAREILS ÉLECTRIQUES POUR LA PROJECTION À CHAUD DE MÉTAUX OU DE CARBURES MÉTALLIQUES FRITTÉS [N¦ 8515] AINSI QUE DES MACHINES ET APPAREILS À JET DE SABLE, VAPEUR, ETC.) [01/01/19</t>
  </si>
  <si>
    <t>=t("   Machines et appareils à jet de sable, à jet de vapeur et appareils à jet simil., y.c. les appareils de nettoyage à eau à moteur incorporé -appareils de nettoyage à haute pression- (à l'excl. des machines et appareils pour le nettoyage de contenants</t>
  </si>
  <si>
    <t>=t("   Parties d'extincteurs, de pistolets aérographes et appareils simil., de machines et appareils à jet de sable, à jet de vapeur et appareils à jet simil. ainsi que de machines et appareils mécaniques à projeter, disperser ou pulvériser des matières l</t>
  </si>
  <si>
    <t xml:space="preserve">=t("   Bigues; grues à câbles et blondins et autres grues (sauf ponts roulants, grues portiques, grues sur portiques, portiques de déchargement, ponts-grues, chariots-cavaliers, grues à tour, chariot-grues, grues autopropulsées et grues conçues pour être </t>
  </si>
  <si>
    <t>=t("   Machines de sondage ou de forage de la terre, des minéraux ou des minerais, autopropulsées (à l'excl. des machines montées sur wagons pour réseaux ferroviaires ou sur châssis d'automobiles ou sur camions, et sauf machines à creuser les tunnels et a</t>
  </si>
  <si>
    <t>=t("   Machines, appareils et engins agricoles, sylvicole ou horticoles pour la préparation ou le travail du sol ou pour la culture, rouleaux pour pelouses ou terrains de sport (à l'excl. des pulvérisateurs, appareils d'arrosage et poudreuses, charrues, h</t>
  </si>
  <si>
    <t xml:space="preserve">=t("   Machines et appareils pour la récolte de produits agricoles (à l'excl. des faucheuses, machines et appareils de fenaison, presses à paille ou à fourrage, y.c. les presses ramasseuses, moissonneuses-batteuses et autres machines et appareils pour le </t>
  </si>
  <si>
    <t>=t("   Machines et appareils de laiterie pour la transformation du lait en produits laitiers (à l'excl. des appareils réfrigérants ou des installations pour traitement thermique, écrémeuses, centrifugeuses de clairçage, filtres-presses et autres appareils</t>
  </si>
  <si>
    <t>=t("   Presses et pressoirs, fouloirs et machines et appareils simil., pour la fabrication du vin, du cidre, des jus de fruits ou de boissons simil. (à l'excl. des machines, appareils et dispositifs pour le traitement de ces boissons, y.c. les centrifugeu</t>
  </si>
  <si>
    <t xml:space="preserve">=t("   Machines et appareils pour la préparation des aliments ou provendes pour animaux dans les exploitations agricoles ou autres exploitations analogues (à l'excl. de l'industrie des aliments pour animaux, des hache-paille et des étuveurs à fourrage et </t>
  </si>
  <si>
    <t>=t("   Machines et appareils de minoterie ou pour traitement des céréales ou légumes secs (autres que les machines et appareils du type agricole, les installations de traitement thermique, essoreuses centrifuges, filtres à air ainsi que machines et appare</t>
  </si>
  <si>
    <t>=t("   Machines et appareils pour la fabrication industrielle des produits de boulangerie, pâtisserie ou biscuiterie ou pour la fabrication industrielle des pâtes alimentaires (sauf fours, appareils de séchage des pâtes alimentaires et machines à rouler l</t>
  </si>
  <si>
    <t>=t("   Machines et appareils pour la préparation ou le traitement industriels des fruits ou des légumes (sauf appareils de cuisson et autres appareils thermiques ainsi que les installations de refroidissement et de congélation, et sauf les machines à trie</t>
  </si>
  <si>
    <t xml:space="preserve">=t("   Machines et appareils pour le brochage ou la reliure, y.c. les machines à coudre les feuillets (à l'excl. des machines et appareils pour le travail de la pâte à papier, du papier et du carton, y.c. les coupeuses, des presses polyvalentes ainsi que </t>
  </si>
  <si>
    <t>=t("   Machines, appareils et matériel pour la préparation ou la fabrication des clichés, planches, cylindres ou autres organes imprimants (sauf machines-outils à travailler par enlèvement de toute matière, à poste fixe et à stations multiples, à effectue</t>
  </si>
  <si>
    <t>=t("   MACHINES ET APPAREILS SERVANT À L'IMPRESSION AU MOYEN DE PLANCHES, CYLINDRES ET AUTRES ORGANES IMPRIMANTS DU N° 8442 (À L'EXCL. DES DUPLICATEURS HECTOGRAPHIQUES OU À STENCILS, DES MACHINES À IMPRIMER LES ADRESSES ET AUTRES MACHINES DE BUREAU À IMPR</t>
  </si>
  <si>
    <t>=t("   Machines et appareils servant à l'impression au moyen de caractères d'imprimerie, clichés, planches, cylindres et autres organes imprimants du n° 8442 (à l'excl. des duplicateurs hectographiques ou à stencils, des machines à imprimer les adresses e</t>
  </si>
  <si>
    <t>=t("   Machines et appareils pour la fabrication ou le finissage du feutre ou des non-tissés, en pièce ou en forme, y.c. les machines et appareils pour la fabrication de chapeaux en feutre; formes de chapellerie; leurs parties (à l'excl. des machines pour</t>
  </si>
  <si>
    <t>=t("   Machines et appareils pour l'apprêt et le finissage, l'enduction ou l'imprégnation des fils, tissus ou autres ouvrages en matières textiles, et machines pour le revêtement des tissus ou autres supports utilisés pour la fabrication de couvre-parquet</t>
  </si>
  <si>
    <t>=t("   Parties de machines et appareils pour le lavage, nettoyage, essorage, séchage, repassage, pressage, blanchiment, teinture, apprêt, finissage, enduction ou imprégnation de fils, tissus ou autres ouvrages en matières textiles, ou pour le revêtement d</t>
  </si>
  <si>
    <t>=t("   TOURS, Y.C. LES CENTRES DE TOURNAGE, TRAVAILLANT PAR ENLÈVEMENT DE MÉTAL (À L'EXCL. DES TOURS HORIZONTAUX ET DES TOURS À COMMANDE NUMÉRIQUE) [01/01/1988-31/12/1994: TOURS TRAVAILLANT PAR ENLEVEMENT DE METAL (AUTRES QU'A COMMANDE NUMÉRIQUE ET AUTRES</t>
  </si>
  <si>
    <t>=t("   Machines à ébarber, meuler, polir ou à faire d'autres opérations de finissage, pour le travail des métaux (autres que les machines à rectifier dont le positionnement dans un des axes peut être réglé à au moins 0,01 mm près, autres qu'à commande num</t>
  </si>
  <si>
    <t xml:space="preserve">=t("   Machines-outils pour le travail des métaux, des carbures métalliques frittés ou des cermets, sans enlèvement de matière (sauf machines à forger, à rouler, à cintrer, dresser ou planer; machines à cisailler, à poinçonner ou à gruger; presses; bancs </t>
  </si>
  <si>
    <t>=t("   Machines-outils pour le travail de la pierre, des produits céramiques, du béton, de l'amiante-ciment ou de matières minérales simil., ou pour le travail à froid du verre (autres qu'à scier, à meuler ou à polir et autres que les machines pour emploi</t>
  </si>
  <si>
    <t>=t("   Machines à dégauchir ou à raboter; machines à fraiser ou à moulurer, pour le travail du bois, des matières plastiques dures, etc. (autres que les machines pour emploi à la main et les machines pouvant effectuer différents types d'opérations d'usina</t>
  </si>
  <si>
    <t>=t("   Machines à percer ou à mortaiser, pour le travail du bois, des matières plastiques dures, etc. (autres que machines pour emploi à la main et les machines pouvant effectuer différents types d'opération d'usinage sans changement d'outils entre les op</t>
  </si>
  <si>
    <t xml:space="preserve">=t("   Machines-outils pour le travail du bois, des matières plastiques dures, etc. (sauf outillage à main, machines pouvant effectuer différents types d'opérations d'usinage sans changement d'outils entre les opérations; machines à scier, à dégauchir ou </t>
  </si>
  <si>
    <t>=t("   Calculatrices électroniques pouvant fonctionner sans source d'énergie électrique extérieure et machines de poche [dimensions &lt;= 170 mm x 100 mm x 45 mm] comportant une fonction de calcul permettant d'enregistrer, de reproduire et d'afficher des inf</t>
  </si>
  <si>
    <t>=t("   Machines automatiques de traitement de l'information numériques, comportant, sous une même enveloppe, au moins une unité centrale de traitement et, qu'elles soient ou non combinées, une unité d'entrée et une unité de sortie (sauf portatives d'un po</t>
  </si>
  <si>
    <t>=t("   Machines automatiques de traitement de l'information numériques se présentant sous forme de systèmes [comportant au moins une unité centrale de traitement, une unité d'entrée et une unité de sortie] (sauf portatives d'un poids &lt;= 10 kg et à l'excl.</t>
  </si>
  <si>
    <t>=t("   Unités de traitement numériques pour machines automatiques de traitement de l'information, pouvant comporter, sous une même enveloppe, un ou deux des types d'unités suivants: unité de mémoire, unité d'entrée et unité de sortie (autres que celles du</t>
  </si>
  <si>
    <t>=t("   UNITES POUR MACHINES AUTOMATIQUES DE TRAITEMENT DE L'INFORMATION, NUMÉRIQUES, ET AUTRES QU'UNITES D'ENTREE, DE SORTIE ET DE MÉMOIRE; LECTEURS MAGNETIQUES OU OPTIQUES, MACHINES DE MISE D'INFORMATIONS SUR SUPPORT SOUS FORME CODEE ET MACHINES DE TRAIT</t>
  </si>
  <si>
    <t>=t("   Machines à agglomérer, former ou mouler les combustibles minéraux solides, les pâtes céramiques, le ciment, le plâtre ou autres matières minérales en poudre ou pâte; machines à former les moules de fonderie en sable (sauf pour mouler ou couler le v</t>
  </si>
  <si>
    <t>=t("   Parties des machines pour l'assemblage des lampes, tubes ou valves électriques ou électroniques ou des lampes pour la production de la lumière-éclair, qui comportent une enveloppe en verre ou des machines pour la fabrication ou le travail à chaud d</t>
  </si>
  <si>
    <t>=t("   Machines et appareils à mouler ou à former pour le travail du caoutchouc ou des matières plastiques ou pour la fabrication de produits en ces matières (à l'excl. des machines à mouler par injection, des extrudeuses, machines à mouler par soufflage,</t>
  </si>
  <si>
    <t>=t("   Machines et appareils pour le traitement des métaux, y.c. les bobineuses pour enroulements électriques, n.d.a. (à l'excl. des robots industriels, des fours, appareils de séchage, pistolets aérographes et appareils simil., appareils de nettoyage à h</t>
  </si>
  <si>
    <t>=t("   PLAQUES DE FOND POUR MOULES (À L'EXCL. DES ARTICLES EN GRAPHITE OU EN AUTRE CARBONE, EN MATIÈRES CÉRAMIQUES ET EN VERRE) [01/01/1988-31/12/1994: PLAQUES DE FOND POUR MOULES (AUTRES QU'EN GRAPHITE OU AUTRES FORMES DE CARBONE, AUTRES QU'EN PRODUITS C</t>
  </si>
  <si>
    <t>=t("   Moules pour les métaux ou les carbures métalliques (autres qu'en graphite ou autres formes de carbone, qu'en produits céramiques ou en verre, sauf flans, matrices et moules à fondre pour machines à fondre en ligne du n° 8442, moules pour le moulage</t>
  </si>
  <si>
    <t>=t("   MOULES POUR LE CAOUTCHOUC OU LES MATIÈRES PLASTIQUES (À L'EXCL. DES ARTICLES POUR LE MOULAGE PAR INJECTION OU PAR COMPRESSION) [01/01/1988-31/12/1994: MOULES POUR LE CAOUTCHOUC OU LES MATIÈRES PLASTIQUES, POUR MOULAGE AUTRE QUE PAR INJECTION OU COM</t>
  </si>
  <si>
    <t>=t("   Roulements à galets et autres roulements, y.c. les roulements combinés (à l'excl. des roulements à billes, roulements à rouleaux coniques, y.c. les assemblages de cônes et rouleaux coniques, roulements à rouleaux en forme de tonneau, roulements à a</t>
  </si>
  <si>
    <t>=t("   Engrenages et roues de friction de machines (à l'excl. des  roues dentées et autres organes élémentaires de transmission présentés séparément); broches filetées à billes ou à rouleaux; réducteurs, multiplicateurs et variateurs de vitesse, y. c. les</t>
  </si>
  <si>
    <t>=t("   Groupes électrogènes à moteur à piston à allumage par compression "moteurs diesel ou semi-diesel", puissance &lt;= 75 kVA")</t>
  </si>
  <si>
    <t>=t("   GROUPES ÉLECTROGÈNES À MOTEUR À PISTON À ALLUMAGE PAR COMPRESSION "MOTEUR DIESEL OU SEMI-DIESEL", PUISSANCE &gt; 375 KVA")</t>
  </si>
  <si>
    <t>=t("   GROUPES ÉLECTROGÈNES À MOTEUR À PISTON À ALLUMAGE PAR ÉTINCELLES "MOTEUR À EXPLOSION"")</t>
  </si>
  <si>
    <t>=t("   Appareils électromécaniques à moteur électrique incorporé, à usage domestique (autres qu'aspirateurs de poussières, des aspirateurs de matières sèches et de matières liquides, cireuses à parquets, broyeurs pour déchets de cuisine, broyeurs et mélan</t>
  </si>
  <si>
    <t>=t("   Appareils et dispositifs électriques d'allumage pour moteurs à allumage par étincelles ou par compression, y.c. conjoncteurs-disjoncteurs (autres que génératrices, démarreurs, distributeurs, bobines d'allumage, magnétos, volants magnétiques et boug</t>
  </si>
  <si>
    <t>=t("   Parties des fours électriques industriels et de laboratoires, y.c. des ceux fonctionnant par induction ou par pertes diélectriques ainsi que des appareils industriels ou de laboratoires pour le traitement thermique des matières par induction ou par</t>
  </si>
  <si>
    <t>=t("   Machines et appareils électriques pour le soudage, opérant par laser ou autres faisceaux de lumière ou de photons, par ultrasons, par faisceaux d'électrons, par impulsions magnétiques; machines et appareils électriques pour la projection à chaud de</t>
  </si>
  <si>
    <t>=t("   Appareils électrothermiques, pour usages domestiques (autres que pour la coiffure ou pour sécher les mains, pour le chauffage des locaux, du sol ou pour usages simil.; autres que chauffe-eau, thermoplongeurs, fers à repasser, fours à micro-ondes, f</t>
  </si>
  <si>
    <t>=t("   ÉMETTEURS-RÉCEPTEURS POUR LA TÉLÉCOMMUNICATION PAR COURANT PORTEUR OU POUR LA TÉLÉCOMMUNICATION NUMÉRIQUE, POUR LA TÉLÉPHONIE OU LA TÉLÉGRAPHIE PAR FIL (À L'EXCL. DES POSTES TÉLÉPHONIQUES D'USAGERS, DES VISIOPHONES, DES TÉLÉCOPIEURS, DES TÉLÉSCRIPT</t>
  </si>
  <si>
    <t>=t("   Appareils électriques pour la téléphonie ou la télégraphie par fil (autres que postes téléphoniques d'usagers, visiophones, télécopieurs, téléscripteurs, appareils de commutation et émetteur-récepteur pour la télécommunication par courant porteur o</t>
  </si>
  <si>
    <t xml:space="preserve">=t("   Parties d'appareils électriques pour la téléphonie ou la télégraphie par fil, y.c. les postes téléphoniques d'usagers par fil à combinés sans fil et les appareils pour la télécommunication par courant porteur ou pour la télécommunication numérique </t>
  </si>
  <si>
    <t xml:space="preserve">=t("   Casques d'écoute et écouteurs électro-acoustiques, même combinés avec un microphone, et ensembles ou assortiments constitués par un microphone et un ou plusieurs haut-parleurs (autres qu'appareils téléphoniques, prothèses auditives et casques avec </t>
  </si>
  <si>
    <t>=t("   APPAREILS D'ENREGISTREMENT OU DE REPRODUCTION VIDÉOPHONIQUES À BANDES MAGNÉTIQUES, INCORPORANT ÉGALEMENT UN RÉCEPTEUR DE SIGNAUX VIDÉOPHONIQUES (À L'EXCL. DES CAMÉSCOPES) [01/01/1988-31/12/1991: APPAREILS D'ENREGISTREMENT OU DE REPRODUCTION VIDEOPH</t>
  </si>
  <si>
    <t>=t("   APPAREILS D'ENREGISTREMENT OU DE REPRODUCTION VIDÉOPHONIQUES, INCORPORANT ÉGALEMENT UN RÉCEPTEUR DE SIGNAUX VIDÉOPHONIQUES (AUTRES QU'À BANDES MAGNÉTIQUES ET À L'EXCL. DES CAMÉSCOPES) [01/01/1988-31/12/1991: APPAREILS D'ENREGISTREMENT OU DE REPRODU</t>
  </si>
  <si>
    <t>=t("   Parties et accessoires reconnaissables comme étant exclusivement ou principalement destinés aux appareils d'enregistrement et de reproduction du son et aux appareils d'enregistrement et de reproduction vidéophoniques (à l'excl. des lecteurs de micr</t>
  </si>
  <si>
    <t>=t("   Supports d'enregistrement pour la reproduction des phénomènes autres que le son ou l'image (à l'excl. des disques pour systèmes de lecture par faisceau laser, des bandes magnétiques et des cartes munies d'une piste magnétique ainsi que des produits</t>
  </si>
  <si>
    <t>=t("   Supports enregistrés pour la reproduction du son ou de l'image, y.c. les matrices et moules galvaniques pour la fabrication des disques (à l'excl. des disques pour électrophones, des disques pour systèmes de lecture par faisceau laser, des bandes m</t>
  </si>
  <si>
    <t>=t("   Récepteurs de radiodiffusion ne pouvant fonctionner qu'avec une source d'énergie extérieure, pour véhicules automobiles, y.c. les appareils recevant également la radiotéléphonie ou la radiotélégraphie, non combinés à un appareil d'enregistrement et</t>
  </si>
  <si>
    <t>=t("   Récepteurs de radiodiffusion, y.c. les appareils recevant également la radiotéléphonie ou la radiotélégraphie, ne pouvant fonctionner qu'avec une source d'énergie extérieure, combinés à un appareil d'enregistrement ou de reproduction du son (autres</t>
  </si>
  <si>
    <t>=t("   Récepteurs de radiodiffusion, y.c. les appareils recevant également la radiotéléphonie ou la radiotélégraphie, ne pouvant fonctionner qu'avec une source d'énergie extérieure, combinés ni à un appareil d'enregistrement ou de reproduction du son ni à</t>
  </si>
  <si>
    <t>=t("   RÉCEPTEURS DE TÉLÉVISION EN COULEURS (Y C. LES MONITEURS VIDÉO ET LES PROJECTEURS VIDÉO), INCORPORANT EGALEMENT UN APPAREIL RÉCEPTEUR DE RADIODIFFUSION OU A UN APPAREIL D'ENREGISTREMENT OU DE REPRODUCTION DU SON OU DES IMAGES [01/01/1988-31/12/1991</t>
  </si>
  <si>
    <t>=t("   RÉCEPTEURS DE TÉLÉVISION EN NOIR ET BLANC OU EN AUTRES MONOCHROMES (Y C. LES MONITEURS VIDÉO ET LES PROJECTEURS VIDÉO), INCORPORANT EGALEMENT UN APPAREIL RÉCEPTEUR DE RADIODIFFUSION OU A UN APPAREIL D'ENREGISTREMENT OU DE REPRODUCTION DU SON OU DES</t>
  </si>
  <si>
    <t>=t("   PARTIES RECONNAISSABLES COMME ÉTANT EXCLUSIVEMENT OU PRINCIPALEMENT DESTINÉES AUX APPAREILS ÉMETTEURS-RÉCEPTEURS POUR LA RADIODIFFUSION OU LA TÉLÉVISION, AUX CAMÉRAS DE TÉLÉVISION, AUX APPAREILS PHOTOGRAPHIQUES NUMÉRIQUES, AUX CAMÉSCOPES ET AUX APP</t>
  </si>
  <si>
    <t>=t("   Appareils électriques de signalisation acoustique ou visuelle (autres que panneaux indicateurs avec dispositifs à cristaux liquides ou à diodes émettrices de lumière, avertisseurs électriques pour la protection contre le vol ou l'incendie et appare</t>
  </si>
  <si>
    <t>=t("   Appareils électriques pour la coupure, le sectionnement, la protection, le branchement, le raccordement ou la connexion des circuits électriques, pour une tension &gt; 1.000 V (autres que fusibles et coupe-circuit, disjoncteurs, sectionneurs, interrup</t>
  </si>
  <si>
    <t xml:space="preserve">=t("   Appareillage pour le branchement, le raccordement ou la connexion des circuits électriques, pour une tension &lt;= 1.000 V (sauf fusibles et coupe-circuit, disjoncteurs et autres appareils pour la protection des circuits électriques, relais et autres </t>
  </si>
  <si>
    <t>=t("   Parties reconnaissables comme étant exclusivement ou principalement destinées aux appareils du n° 8535, 8536 ou 8537, n.d.a. (à l'excl. des tableaux, panneaux, consoles, pupitres, armoires et autres supports pour articles du n° 8537, dépourvus de l</t>
  </si>
  <si>
    <t>=t("   Lampes, tubes et valves électroniques (autres que tubes de réception et d'amplification, tubes pour hyperfréquences, tubes à cathode et à photocathode, tubes de visualisation des données graphiques en noir et blanc ou en autres monochromes et en co</t>
  </si>
  <si>
    <t>=t("   VÉHICULES POUR LE TRANSPORT DE &gt;= 10 PERSONNES, CHAUFFEUR INCLUS, À MOTEUR À PISTON À ALLUMAGE PAR COMPRESSION "MOTEUR DIESEL OU SEMI-DIESEL"")</t>
  </si>
  <si>
    <t>=t("   VÉHICULES POUR LE TRANSPORT DE &gt;= 10 PERSONNES, CHAUFFEUR INCLUS, AUTRES QU'À MOTEUR À PISTON À ALLUMAGE PAR COMPRESSION "MOTEUR DIESEL OU SEMI-DIESEL"")</t>
  </si>
  <si>
    <t>=t("   VOITURES DE TOURISME ET AUTRES VÉHICULES PRINCIPALEMENT CONÇUS POUR LE TRANSPORT DE PERSONNES, Y.C. LES VOITURES DU TYPE 'BREAK' ET LES VOITURES DE COURSE, À MOTEUR À PISTON ALTERNATIF À ALLUMAGE PAR ÉTINCELLES "MOTEUR À EXPLOSION", CYLINDRÉE &lt;= 1.</t>
  </si>
  <si>
    <t>=t("   VOITURES DE TOURISME ET AUTRES VÉHICULES PRINCIPALEMENT CONÇUS POUR LE TRANSPORT DE PERSONNES, Y.C. LES VOITURES DU TYPE 'BREAK' ET LES VOITURES DE COURSE, À MOTEUR À PISTON ALTERNATIF À ALLUMAGE PAR ÉTINCELLES "MOTEUR À EXPLOSION", CYLINDRÉE &gt; 1.0</t>
  </si>
  <si>
    <t>=t("   VOITURES DE TOURISME ET AUTRES VÉHICULES PRINCIPALEMENT CONÇUS POUR LE TRANSPORT DE PERSONNES, Y.C. LES VOITURES DU TYPE 'BREAK' ET LES VOITURES DE COURSE, À MOTEUR À PISTON ALTERNATIF À ALLUMAGE PAR ÉTINCELLES "MOTEUR À EXPLOSION", CYLINDRÉE &gt; 1.5</t>
  </si>
  <si>
    <t>=t("   VOITURES DE TOURISME ET AUTRES VÉHICULES PRINCIPALEMENT CONÇUS POUR LE TRANSPORT DE PERSONNES, Y.C. LES VOITURES DU TYPE 'BREAK' ET LES VOITURES DE COURSE, À MOTEUR À PISTON ALTERNATIF À ALLUMAGE PAR ÉTINCELLES "MOTEUR À EXPLOSION", CYLINDRÉE &gt; 3.0</t>
  </si>
  <si>
    <t>=t("   VOITURES DE TOURISME ET AUTRES VÉHICULES PRINCIPALEMENT CONÇUS POUR LE TRANSPORT DE PERSONNES, Y.C. LES VOITURES DU TYPE 'BREAK' ET LES VOITURES DE COURSE, À MOTEUR À PISTON À ALLUMAGE PAR COMPRESSION "MOTEUR DIESEL OU SEMI-DIESEL", CYLINDRÉE &lt;= 1.</t>
  </si>
  <si>
    <t>=t("   VOITURES DE TOURISME ET AUTRES VÉHICULES PRINCIPALEMENT CONÇUS POUR LE TRANSPORT DE PERSONNES, Y.C. LES VOITURES DU TYPE 'BREAK' ET LES VOITURES DE COURSE, À MOTEUR À PISTON À ALLUMAGE PAR COMPRESSION "MOTEUR DIESEL OU SEMI-DIESEL", CYLINDRÉE &gt; 1.5</t>
  </si>
  <si>
    <t>=t("   VOITURES DE TOURISME ET AUTRES VÉHICULES PRINCIPALEMENT CONÇUS POUR LE TRANSPORT DE PERSONNES, Y.C. LES VOITURES DU TYPE 'BREAK' ET LES VOITURES DE COURSE, À MOTEUR À PISTON À ALLUMAGE PAR COMPRESSION "MOTEUR DIESEL OU SEMI-DIESEL", CYLINDRÉE &gt; 250</t>
  </si>
  <si>
    <t>=t("   VÉHICULES POUR LE TRANSPORT DE MARCHANDISES, À MOTEUR À PISTON À ALLUMAGE PAR COMPRESSION "MOTEUR DIESEL OU SEMI-DIESEL", POIDS EN CHARGE MAXIMAL &lt;= 5 T (SAUF TOMBEREAUX AUTOMOTEURS DU N° 8704 ET VÉHICULES AUTOMOBILES À USAGES SPÉCIAUX DU N° 8705)"</t>
  </si>
  <si>
    <t>=t("   VÉHICULES POUR LE TRANSPORT DE MARCHANDISES, À MOTEUR À PISTON À ALLUMAGE PAR COMPRESSION "MOTEUR DIESEL OU SEMI-DIESEL", POIDS EN CHARGE MAXIMAL &gt; 5 T MAIS &lt;= 20 T (SAUF TOMBEREAUX AUTOMOTEURS DU N° 8704.10, VÉHICULES AUTOMOBILES À USAGES SPÉCIAUX</t>
  </si>
  <si>
    <t>=t("   VÉHICULES POUR LE TRANSPORT DE MARCHANDISES, À MOTEUR À PISTON À ALLUMAGE PAR COMPRESSION "MOTEUR DIESEL OU SEMI-DIESEL", POIDS EN CHARGE MAXIMAL &gt; 20 T (SAUF TOMBEREAUX AUTOMOTEURS DU N° 8704.10, VÉHICULES AUTOMOBILES À USAGES SPÉCIAUX DU N° 8705)</t>
  </si>
  <si>
    <t>=t("   VÉHICULES POUR LE TRANSPORT DE MARCHANDISES, À MOTEUR À PISTON À ALLUMAGE PAR ÉTINCELLES "MOTEUR À EXPLOSION", POIDS EN CHARGE MAXIMAL &lt;= 5 T (SAUF TOMBEREAUX AUTOMOTEURS DU N° 8704.10, VÉHICULES AUTOMOBILES À USAGES SPÉCIAUX DU N° 8705)")</t>
  </si>
  <si>
    <t>=t("   VÉHICULES POUR LE TRANSPORT DE MARCHANDISES, À MOTEUR À PISTON À ALLUMAGE PAR ÉTINCELLES "MOTEUR À EXPLOSION", POIDS EN CHARGE MAXIMAL &gt; 5 T (SAUF TOMBEREAUX AUTOMOTEURS DU N° 8704.10, VÉHICULES AUTOMOBILES À USAGES SPÉCIAUX DU N° 8705)")</t>
  </si>
  <si>
    <t>=t("   Véhicules automobiles à usages spéciaux (autres que ceux principalement conçus pour le transport de personnes ou de marchandises et sauf camions-béonnières, voitures de lutte contre l'incendie, derricks automobiles pour le sondage ou le forage, cam</t>
  </si>
  <si>
    <t xml:space="preserve">=t("   CHÂSSIS DE TRACTEURS, VÉHICULES POUR LE TRANSPORT DE &gt;= 10 PERSONNES, CHAUFFEUR INCLUS, VOITURES DE TOURISME, VÉHICULES POUR LE TRANSPORT DE MARCHANDISES ET VÉHICULES À USAGES SPÉCIAUX DU N° 8701 À 8705, ÉQUIPÉS DE LEUR MOTEUR (SAUF AVEC MOTEUR ET </t>
  </si>
  <si>
    <t>=t("   PARTIES ET ACCESSOIRES DE CARROSSERIE DE TRACTEURS, VÉHICULES POUR LE TRANSPORT DE &gt;= 10 PERSONNES, CHAUFFEUR INCLUS, VOITURES DE TOURISME, VÉHICULES POUR LE TRANSPORT DE MARCHANDISES ET VÉHICULES À USAGES SPÉCIAUX (SAUF PARE-CHOCS ET LEURS PARTIES</t>
  </si>
  <si>
    <t>=t("   PONTS AVEC DIFFÉRENTIEL, MÊME POURVUS D'AUTRES ORGANES DE TRANSMISSION, ET ESSIEUX PORTEURS AINSI QUE LEURS PARTIES, POUR TRACTEURS, VÉHICULES POUR LE TRANSPORT DE &gt;= 10 PERSONNES, CHAUFFEUR INCLUS, VOITURES DE TOURISME, VÉHICULES POUR LE TRANSPORT</t>
  </si>
  <si>
    <t xml:space="preserve">=t("   SYSTÈMES DE SUSPENSION ET LEURS PARTIES, Y.C. LES AMORTISSEURS DE SUSPENSION, POUR TRACTEURS, VÉHICULES POUR LE TRANSPORT DE &gt;= 10 PERSONNES, CHAUFFEUR INCLUS, VOITURES DE TOURISME, VÉHICULES POUR LE TRANSPORT DE MARCHANDISES ET VÉHICULES À USAGES </t>
  </si>
  <si>
    <t xml:space="preserve">=t("   VOLANTS, COLONNES ET BOÎTIERS DE DIRECTION AINSI QUE LEURS PARTIES, POUR TRACTEURS, VÉHICULES POUR LE TRANSPORT DE &gt;= 10 PERSONNES, CHAUFFEUR INCLUS, VOITURES DE TOURISME, VÉHICULES POUR LE TRANSPORT DE MARCHANDISES ET VÉHICULES À USAGES SPÉCIAUX, </t>
  </si>
  <si>
    <t>=t("   Bateaux-phares, bateaux-pompes, pontons-grues et autres bateaux pour lesquels la navigation n'est qu'accessoire par rapport à la fonction principale (sauf bateaux-dragueurs, plates-formes de forage ou d'exploitation, flottantes ou submersibles, bat</t>
  </si>
  <si>
    <t>=t("   Appareils photographiques, pour pellicules en rouleaux d'une largeur &gt; 35 mm ou pour films plans (autres que les appareils photographiques à développement et tirage instantanés et les appareils photographiques pour usages spéciaux du n° 9006.10, 90</t>
  </si>
  <si>
    <t>=t("   Appareils et matériel pour le développement automatique des pellicules photographiques, des films cinématographiques ou du papier photographique en rouleaux ou pour l'impression automatique des pellicules développées sur des rouleaux de papier phot</t>
  </si>
  <si>
    <t>=t("   Microscopes optiques (à l'excl. de ceux destinés à la photomicrographie, la cinéphotomicrographie ou la microprojection, des microscopes stéréoscopiques, des microscopes binoculaires pour l'ophtalmologie ainsi que des instruments, appareils et mach</t>
  </si>
  <si>
    <t>=t("   Instruments et appareils de géodésie, de topographie, d'arpentage, de nivellement, d'hydrographie, de météorologie, d'hydrologie, de géophysique ou d'océanographie (à l'excl. des boussoles, des télémètres, des théodolites, des tachéomètres, des niv</t>
  </si>
  <si>
    <t>=t("   Appareils d'électrodiagnostic, y.c. les appareils d'exploration fonctionnelle ou de surveillance de paramètres physiologiques (sauf électrocardiographes, appareils de diagnostic par balayage ultrasonique [scanners], appareils de diagnostic par visu</t>
  </si>
  <si>
    <t>=t("   Appareils à tenir à la main, à porter sur la personne ou à implanter dans l'organisme, afin de compenser une déficience ou une infirmité (à l'excl. des articles et appareils de prothèse ainsi que des appareils complets pour faciliter l'audition aux</t>
  </si>
  <si>
    <t>=t("   Instruments, appareils et modèles conçus pour la démonstration, p.ex. dans l'enseignement ou les expositions, non susceptibles d'autres emplois (à l'excl. des appareils au sol d'entraînement au vol du n° 8805, des spécimens pour collections du n° 9</t>
  </si>
  <si>
    <t>=t("   DENSIMÈTRES, ARÉOMÈTRES, PÈSE-LIQUIDES ET INSTRUMENTS FLOTTANTS SIMIL., BAROMÈTRES, HYGROMÈTRES ET PSYCHROMÈTRES, MÊME COMBINÉS ENTRE EUX OU COMBINÉS À DES THERMOMÈTRES [01/01/1988-31/12/1991: DENSIMÈTRES, ARÉOMÈTRES, PESE-LIQUIDES ET SIMILAIRES, P</t>
  </si>
  <si>
    <t>=t("   Microtomes; parties et accessoires des instruments et appareils pour analyses physiques ou chimiques, p.ex. polarimètres, réfractomètres, spectromètres, des instruments et appareils pour essais de viscosité, de porosité, de dilatation, de tension s</t>
  </si>
  <si>
    <t>=t("   Instruments et appareils pour la mesure ou le contrôle de grandeurs électriques, avec dispositif enregistreur (à l'excl. des instruments et appareils spécialement conçus pour les techniques de télécommunication, pour la mesure ou le contrôle des di</t>
  </si>
  <si>
    <t>=t("   Instruments et appareils pour la régulation ou le contrôle automatiques (à l'excl. des instruments et appareils, hydrauliques ou pneumatiques, pour la régulation ou le contrôle automatiques, des manostats [pressostats], des thermostats et des artic</t>
  </si>
  <si>
    <t>=t("   Appareils d'horlogerie ne fonctionnant pas électriquement (autres que montres-bracelets, montres de poche et montres simil. du n° 9101 ou 9102, réveils ou pendulettes à mouvement de montre du n° 9103, montres de tableaux de bord et montres simil. d</t>
  </si>
  <si>
    <t>=t("   INSTRUMENTS DE MUSIQUE À VENT (À L'EXCL. DES INSTRUMENTS DITS "CUIVRES")")</t>
  </si>
  <si>
    <t>=t("   Armes de guerre, y.c. les pistolets-mitrailleurs (à l'excl. des pièces d'artillerie, des tubes lance-missiles, des lance-flammes, des lance-grenades, des lance-torpilles et lanceurs similaires, des  revolvers et pistolets du n° 9302 et d'armes blan</t>
  </si>
  <si>
    <t>=t("   FUSILS ET CARABINES DE CHASSE OU DE TIR SPORTIF, COMPORTANT AU MOINS UN CANON RAYÉ (À L'EXCL. DES FUSILS ET CARABINES À RESSORT, À AIR COMPRIMÉ OU À GAZ) [01/01/1988-31/12/1994: FUSILS ET CARABINES DE CHASSE OU DE TIR SPORTIF, COMPORTANT UN CANON R</t>
  </si>
  <si>
    <t>=t("   Sabres, épées, baïonnettes, lances et autres armes blanches, leurs parties et leurs fourreaux (autres qu'en métaux précieux ou en plaqués ou doublés de métaux précieux, armes mouchetées destinées à l'escrime, couteaux et poignards de chasse, coutea</t>
  </si>
  <si>
    <t>=t("   Articles de literie et simil., garnis de plumes, rembourrés, garnis de matières de toutes sortes, y.c. caoutchouc alvéolaire ou matières plastiques alvéolaires (sauf sommiers, matelas, sacs de couchage, matelas à eau, matelas pneumatiques et oreill</t>
  </si>
  <si>
    <t>=t("   JEUX AVEC ÉCRAN, FLIPPERS ET AUTRES AUTRES JEUX FONCTIONNANT PAR L'INTRODUCTION D'UNE PIÈCE DE MONNAIE, D'UN BILLET DE BANQUE, D'UNE CARTE BANCAIRE, D'UN JETON OU PAR D'AUTRES MOYENS DE PAIEMENT (À L'EXCL. DES JEUX DE QUILLES AUTOMATIQUES [P.EX. BO</t>
  </si>
  <si>
    <t>=t("   Tables spéciales pour jeux de casino, jeux de quilles automatiques [p.ex. bowlings] et autres jeux de société, y.c. les jeux à moteur ou à mouvement (sauf jeux fonctionnant par l'introduction d'une pièce de monnaie, d'un billet de banque, d'un jeto</t>
  </si>
  <si>
    <t>=t("   Manèges, balançoires, stands de tir et autres attractions foraines; théâtres ambulants (sauf cirques ambulants et ménageries ambulantes, installations foraines pour la vente de marchandises, y.c. de certaines marchandises, articles offerts en prix,</t>
  </si>
  <si>
    <t>Source: Copyright © 1958 - 2003 European Community, Eurostat. All Rights Reserved. Comext: k0000010.txt  Extracted: 06/10/2014</t>
  </si>
  <si>
    <t>Table generation of Extraction from Plan "k0000008,mtx"</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</si>
</sst>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
    <xf numFmtId="0" fontId="0" fillId="0" borderId="0" xfId="0"/>
    <xf numFmtId="0" fontId="16" fillId="0" borderId="0" xfId="0" applyFont="1"/>
  </cellXfs>
  <cellStyles count="42">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Commentaire" xfId="15" builtinId="10" customBuiltin="1"/>
    <cellStyle name="Entrée" xfId="9" builtinId="20" customBuiltin="1"/>
    <cellStyle name="Insatisfaisant" xfId="7" builtinId="27" customBuiltin="1"/>
    <cellStyle name="Neutre" xfId="8" builtinId="28" customBuiltin="1"/>
    <cellStyle name="Normal" xfId="0" builtinId="0"/>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564"/>
  <sheetViews>
    <sheetView tabSelected="1" topLeftCell="A5" workbookViewId="0">
      <selection activeCell="D5" activeCellId="1" sqref="C1:C1048576 D1:D1048576"/>
    </sheetView>
  </sheetViews>
  <sheetFormatPr baseColWidth="10" defaultRowHeight="15" x14ac:dyDescent="0.25"/>
  <sheetData>
    <row r="1" spans="1:4" x14ac:dyDescent="0.25">
      <c r="C1" t="s">
        <v>519</v>
      </c>
    </row>
    <row r="3" spans="1:4" x14ac:dyDescent="0.25">
      <c r="A3" t="s">
        <v>0</v>
      </c>
      <c r="B3" t="str">
        <f>T("06/10/2014")</f>
        <v>06/10/2014</v>
      </c>
    </row>
    <row r="4" spans="1:4" x14ac:dyDescent="0.25">
      <c r="A4" t="s">
        <v>1</v>
      </c>
      <c r="B4" t="str">
        <f>T("00")</f>
        <v>00</v>
      </c>
    </row>
    <row r="5" spans="1:4" x14ac:dyDescent="0.25">
      <c r="A5" t="s">
        <v>2</v>
      </c>
      <c r="B5" t="str">
        <f>T("2010")</f>
        <v>2010</v>
      </c>
    </row>
    <row r="6" spans="1:4" x14ac:dyDescent="0.25">
      <c r="A6" t="s">
        <v>3</v>
      </c>
      <c r="B6" t="str">
        <f>T("ZZ_7Bureaux")</f>
        <v>ZZ_7Bureaux</v>
      </c>
    </row>
    <row r="7" spans="1:4" x14ac:dyDescent="0.25">
      <c r="A7" t="s">
        <v>4</v>
      </c>
      <c r="B7" t="str">
        <f>T("CS")</f>
        <v>CS</v>
      </c>
    </row>
    <row r="8" spans="1:4" x14ac:dyDescent="0.25">
      <c r="A8" t="s">
        <v>5</v>
      </c>
      <c r="B8" t="str">
        <f>T("I")</f>
        <v>I</v>
      </c>
    </row>
    <row r="9" spans="1:4" x14ac:dyDescent="0.25">
      <c r="A9" t="s">
        <v>6</v>
      </c>
      <c r="B9" t="str">
        <f>T("ZZZ_Monde")</f>
        <v>ZZZ_Monde</v>
      </c>
    </row>
    <row r="10" spans="1:4" x14ac:dyDescent="0.25">
      <c r="A10" t="s">
        <v>7</v>
      </c>
      <c r="B10" t="s">
        <v>8</v>
      </c>
    </row>
    <row r="11" spans="1:4" x14ac:dyDescent="0.25">
      <c r="A11" t="s">
        <v>9</v>
      </c>
      <c r="B11" t="s">
        <v>10</v>
      </c>
    </row>
    <row r="12" spans="1:4" x14ac:dyDescent="0.25">
      <c r="A12" t="s">
        <v>11</v>
      </c>
      <c r="B12" t="s">
        <v>12</v>
      </c>
    </row>
    <row r="14" spans="1:4" x14ac:dyDescent="0.25">
      <c r="C14" t="str">
        <f>T("Valstat")</f>
        <v>Valstat</v>
      </c>
      <c r="D14" t="str">
        <f>T("Poidsnet")</f>
        <v>Poidsnet</v>
      </c>
    </row>
    <row r="15" spans="1:4" x14ac:dyDescent="0.25">
      <c r="C15" t="str">
        <f>T("Valstat")</f>
        <v>Valstat</v>
      </c>
      <c r="D15" t="str">
        <f>T("Poidsnet")</f>
        <v>Poidsnet</v>
      </c>
    </row>
    <row r="16" spans="1:4" x14ac:dyDescent="0.25">
      <c r="A16" t="str">
        <f>T("AD")</f>
        <v>AD</v>
      </c>
      <c r="B16" t="str">
        <f>T("Andorre")</f>
        <v>Andorre</v>
      </c>
    </row>
    <row r="17" spans="1:4" x14ac:dyDescent="0.25">
      <c r="A17" t="str">
        <f>T("   ZZ_Total_Produit_SH6")</f>
        <v xml:space="preserve">   ZZ_Total_Produit_SH6</v>
      </c>
      <c r="B17" t="str">
        <f>T("   ZZ_Total_Produit_SH6")</f>
        <v xml:space="preserve">   ZZ_Total_Produit_SH6</v>
      </c>
      <c r="C17">
        <v>14000810</v>
      </c>
      <c r="D17">
        <v>41748</v>
      </c>
    </row>
    <row r="18" spans="1:4" x14ac:dyDescent="0.25">
      <c r="A18" t="str">
        <f>T("   080810")</f>
        <v xml:space="preserve">   080810</v>
      </c>
      <c r="B18" t="str">
        <f>T("   Pommes, fraîches")</f>
        <v xml:space="preserve">   Pommes, fraîches</v>
      </c>
      <c r="C18">
        <v>14000810</v>
      </c>
      <c r="D18">
        <v>41748</v>
      </c>
    </row>
    <row r="19" spans="1:4" x14ac:dyDescent="0.25">
      <c r="A19" t="str">
        <f>T("AE")</f>
        <v>AE</v>
      </c>
      <c r="B19" t="str">
        <f>T("Emirats Arabes Unis")</f>
        <v>Emirats Arabes Unis</v>
      </c>
    </row>
    <row r="20" spans="1:4" x14ac:dyDescent="0.25">
      <c r="A20" t="str">
        <f>T("   ZZ_Total_Produit_SH6")</f>
        <v xml:space="preserve">   ZZ_Total_Produit_SH6</v>
      </c>
      <c r="B20" t="str">
        <f>T("   ZZ_Total_Produit_SH6")</f>
        <v xml:space="preserve">   ZZ_Total_Produit_SH6</v>
      </c>
      <c r="C20">
        <v>28919645638.278999</v>
      </c>
      <c r="D20">
        <v>105298452.28</v>
      </c>
    </row>
    <row r="21" spans="1:4" x14ac:dyDescent="0.25">
      <c r="A21" t="str">
        <f>T("   030379")</f>
        <v xml:space="preserve">   030379</v>
      </c>
      <c r="B21" t="s">
        <v>17</v>
      </c>
      <c r="C21">
        <v>8750001</v>
      </c>
      <c r="D21">
        <v>50000</v>
      </c>
    </row>
    <row r="22" spans="1:4" x14ac:dyDescent="0.25">
      <c r="A22" t="str">
        <f>T("   040210")</f>
        <v xml:space="preserve">   040210</v>
      </c>
      <c r="B22" t="str">
        <f>T("   Lait et crème de lait, en poudre, en granulés ou sous d'autres formes solides, d'une teneur en poids de matières grasses &lt;= 1,5%")</f>
        <v xml:space="preserve">   Lait et crème de lait, en poudre, en granulés ou sous d'autres formes solides, d'une teneur en poids de matières grasses &lt;= 1,5%</v>
      </c>
      <c r="C22">
        <v>21288</v>
      </c>
      <c r="D22">
        <v>145</v>
      </c>
    </row>
    <row r="23" spans="1:4" x14ac:dyDescent="0.25">
      <c r="A23" t="str">
        <f>T("   040900")</f>
        <v xml:space="preserve">   040900</v>
      </c>
      <c r="B23" t="str">
        <f>T("   Miel naturel")</f>
        <v xml:space="preserve">   Miel naturel</v>
      </c>
      <c r="C23">
        <v>27750</v>
      </c>
      <c r="D23">
        <v>52</v>
      </c>
    </row>
    <row r="24" spans="1:4" x14ac:dyDescent="0.25">
      <c r="A24" t="str">
        <f>T("   071340")</f>
        <v xml:space="preserve">   071340</v>
      </c>
      <c r="B24" t="str">
        <f>T("   Lentilles, séchées, écossées, même décortiquées ou cassées")</f>
        <v xml:space="preserve">   Lentilles, séchées, écossées, même décortiquées ou cassées</v>
      </c>
      <c r="C24">
        <v>852372</v>
      </c>
      <c r="D24">
        <v>5643</v>
      </c>
    </row>
    <row r="25" spans="1:4" x14ac:dyDescent="0.25">
      <c r="A25" t="str">
        <f>T("   090121")</f>
        <v xml:space="preserve">   090121</v>
      </c>
      <c r="B25" t="str">
        <f>T("   Café, torréfié, non décaféiné")</f>
        <v xml:space="preserve">   Café, torréfié, non décaféiné</v>
      </c>
      <c r="C25">
        <v>175532</v>
      </c>
      <c r="D25">
        <v>239</v>
      </c>
    </row>
    <row r="26" spans="1:4" x14ac:dyDescent="0.25">
      <c r="A26" t="str">
        <f>T("   090220")</f>
        <v xml:space="preserve">   090220</v>
      </c>
      <c r="B26" t="str">
        <f>T("   Thé vert [thé non fermenté], présenté en emballages immédiats d'un contenu &gt; 3 kg")</f>
        <v xml:space="preserve">   Thé vert [thé non fermenté], présenté en emballages immédiats d'un contenu &gt; 3 kg</v>
      </c>
      <c r="C26">
        <v>16317</v>
      </c>
      <c r="D26">
        <v>111</v>
      </c>
    </row>
    <row r="27" spans="1:4" x14ac:dyDescent="0.25">
      <c r="A27" t="str">
        <f>T("   090230")</f>
        <v xml:space="preserve">   090230</v>
      </c>
      <c r="B27" t="s">
        <v>25</v>
      </c>
      <c r="C27">
        <v>5327939</v>
      </c>
      <c r="D27">
        <v>8195</v>
      </c>
    </row>
    <row r="28" spans="1:4" x14ac:dyDescent="0.25">
      <c r="A28" t="str">
        <f>T("   091099")</f>
        <v xml:space="preserve">   091099</v>
      </c>
      <c r="B28" t="s">
        <v>27</v>
      </c>
      <c r="C28">
        <v>237039</v>
      </c>
      <c r="D28">
        <v>1131</v>
      </c>
    </row>
    <row r="29" spans="1:4" x14ac:dyDescent="0.25">
      <c r="A29" t="str">
        <f>T("   100610")</f>
        <v xml:space="preserve">   100610</v>
      </c>
      <c r="B29" t="str">
        <f>T("   Riz en paille [riz paddy]")</f>
        <v xml:space="preserve">   Riz en paille [riz paddy]</v>
      </c>
      <c r="C29">
        <v>239675</v>
      </c>
      <c r="D29">
        <v>6000</v>
      </c>
    </row>
    <row r="30" spans="1:4" x14ac:dyDescent="0.25">
      <c r="A30" t="str">
        <f>T("   100630")</f>
        <v xml:space="preserve">   100630</v>
      </c>
      <c r="B30" t="str">
        <f>T("   Riz semi-blanchi ou blanchi, même poli ou glacé")</f>
        <v xml:space="preserve">   Riz semi-blanchi ou blanchi, même poli ou glacé</v>
      </c>
      <c r="C30">
        <v>20314025064.803001</v>
      </c>
      <c r="D30">
        <v>80013360</v>
      </c>
    </row>
    <row r="31" spans="1:4" x14ac:dyDescent="0.25">
      <c r="A31" t="str">
        <f>T("   100640")</f>
        <v xml:space="preserve">   100640</v>
      </c>
      <c r="B31" t="str">
        <f>T("   Riz en brisures")</f>
        <v xml:space="preserve">   Riz en brisures</v>
      </c>
      <c r="C31">
        <v>128582010.808</v>
      </c>
      <c r="D31">
        <v>500000</v>
      </c>
    </row>
    <row r="32" spans="1:4" x14ac:dyDescent="0.25">
      <c r="A32" t="str">
        <f>T("   110100")</f>
        <v xml:space="preserve">   110100</v>
      </c>
      <c r="B32" t="str">
        <f>T("   Farines de froment [blé] ou de méteil")</f>
        <v xml:space="preserve">   Farines de froment [blé] ou de méteil</v>
      </c>
      <c r="C32">
        <v>67115</v>
      </c>
      <c r="D32">
        <v>194</v>
      </c>
    </row>
    <row r="33" spans="1:4" x14ac:dyDescent="0.25">
      <c r="A33" t="str">
        <f>T("   110510")</f>
        <v xml:space="preserve">   110510</v>
      </c>
      <c r="B33" t="str">
        <f>T("   Farine, semoule et poudre de pommes de terre")</f>
        <v xml:space="preserve">   Farine, semoule et poudre de pommes de terre</v>
      </c>
      <c r="C33">
        <v>159676</v>
      </c>
      <c r="D33">
        <v>604</v>
      </c>
    </row>
    <row r="34" spans="1:4" x14ac:dyDescent="0.25">
      <c r="A34" t="str">
        <f>T("   151000")</f>
        <v xml:space="preserve">   151000</v>
      </c>
      <c r="B34" t="s">
        <v>33</v>
      </c>
      <c r="C34">
        <v>239675</v>
      </c>
      <c r="D34">
        <v>6000</v>
      </c>
    </row>
    <row r="35" spans="1:4" x14ac:dyDescent="0.25">
      <c r="A35" t="str">
        <f>T("   151190")</f>
        <v xml:space="preserve">   151190</v>
      </c>
      <c r="B35" t="str">
        <f>T("   Huile de palme et ses fractions, même raffinées, mais non chimiquement modifiées (à l'excl. de l'huile de palme brute)")</f>
        <v xml:space="preserve">   Huile de palme et ses fractions, même raffinées, mais non chimiquement modifiées (à l'excl. de l'huile de palme brute)</v>
      </c>
      <c r="C35">
        <v>1224516556.2750001</v>
      </c>
      <c r="D35">
        <v>3749965</v>
      </c>
    </row>
    <row r="36" spans="1:4" x14ac:dyDescent="0.25">
      <c r="A36" t="str">
        <f>T("   151620")</f>
        <v xml:space="preserve">   151620</v>
      </c>
      <c r="B36"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36">
        <v>13200000</v>
      </c>
      <c r="D36">
        <v>64660</v>
      </c>
    </row>
    <row r="37" spans="1:4" x14ac:dyDescent="0.25">
      <c r="A37" t="str">
        <f>T("   160250")</f>
        <v xml:space="preserve">   160250</v>
      </c>
      <c r="B37" t="s">
        <v>42</v>
      </c>
      <c r="C37">
        <v>3839883</v>
      </c>
      <c r="D37">
        <v>15232</v>
      </c>
    </row>
    <row r="38" spans="1:4" x14ac:dyDescent="0.25">
      <c r="A38" t="str">
        <f>T("   170199")</f>
        <v xml:space="preserve">   170199</v>
      </c>
      <c r="B38"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38">
        <v>2837459026.3930001</v>
      </c>
      <c r="D38">
        <v>11399000</v>
      </c>
    </row>
    <row r="39" spans="1:4" x14ac:dyDescent="0.25">
      <c r="A39" t="str">
        <f>T("   170410")</f>
        <v xml:space="preserve">   170410</v>
      </c>
      <c r="B39" t="str">
        <f>T("   Gommes à mâcher [chewing-gum], même enrobées de sucre")</f>
        <v xml:space="preserve">   Gommes à mâcher [chewing-gum], même enrobées de sucre</v>
      </c>
      <c r="C39">
        <v>7814364</v>
      </c>
      <c r="D39">
        <v>26984</v>
      </c>
    </row>
    <row r="40" spans="1:4" x14ac:dyDescent="0.25">
      <c r="A40" t="str">
        <f>T("   170490")</f>
        <v xml:space="preserve">   170490</v>
      </c>
      <c r="B40" t="str">
        <f>T("   Sucreries sans cacao, y.c. le chocolat blanc (à l'excl. des gommes à mâcher)")</f>
        <v xml:space="preserve">   Sucreries sans cacao, y.c. le chocolat blanc (à l'excl. des gommes à mâcher)</v>
      </c>
      <c r="C40">
        <v>18356896</v>
      </c>
      <c r="D40">
        <v>64424</v>
      </c>
    </row>
    <row r="41" spans="1:4" x14ac:dyDescent="0.25">
      <c r="A41" t="str">
        <f>T("   190220")</f>
        <v xml:space="preserve">   190220</v>
      </c>
      <c r="B41" t="str">
        <f>T("   Pâtes alimentaires, farcies de viande ou d'autres substances, même cuites ou autrement préparées")</f>
        <v xml:space="preserve">   Pâtes alimentaires, farcies de viande ou d'autres substances, même cuites ou autrement préparées</v>
      </c>
      <c r="C41">
        <v>126323</v>
      </c>
      <c r="D41">
        <v>619</v>
      </c>
    </row>
    <row r="42" spans="1:4" x14ac:dyDescent="0.25">
      <c r="A42" t="str">
        <f>T("   190531")</f>
        <v xml:space="preserve">   190531</v>
      </c>
      <c r="B42" t="str">
        <f>T("   Biscuits additionnés d'édulcorants")</f>
        <v xml:space="preserve">   Biscuits additionnés d'édulcorants</v>
      </c>
      <c r="C42">
        <v>672466</v>
      </c>
      <c r="D42">
        <v>1000</v>
      </c>
    </row>
    <row r="43" spans="1:4" x14ac:dyDescent="0.25">
      <c r="A43" t="str">
        <f>T("   190590")</f>
        <v xml:space="preserve">   190590</v>
      </c>
      <c r="B43" t="s">
        <v>51</v>
      </c>
      <c r="C43">
        <v>292402</v>
      </c>
      <c r="D43">
        <v>880</v>
      </c>
    </row>
    <row r="44" spans="1:4" x14ac:dyDescent="0.25">
      <c r="A44" t="str">
        <f>T("   200290")</f>
        <v xml:space="preserve">   200290</v>
      </c>
      <c r="B44"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44">
        <v>140743228</v>
      </c>
      <c r="D44">
        <v>389047</v>
      </c>
    </row>
    <row r="45" spans="1:4" x14ac:dyDescent="0.25">
      <c r="A45" t="str">
        <f>T("   200819")</f>
        <v xml:space="preserve">   200819</v>
      </c>
      <c r="B45" t="s">
        <v>55</v>
      </c>
      <c r="C45">
        <v>796142</v>
      </c>
      <c r="D45">
        <v>7587</v>
      </c>
    </row>
    <row r="46" spans="1:4" x14ac:dyDescent="0.25">
      <c r="A46" t="str">
        <f>T("   200990")</f>
        <v xml:space="preserve">   200990</v>
      </c>
      <c r="B46"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46">
        <v>15235067</v>
      </c>
      <c r="D46">
        <v>62247</v>
      </c>
    </row>
    <row r="47" spans="1:4" x14ac:dyDescent="0.25">
      <c r="A47" t="str">
        <f>T("   210320")</f>
        <v xml:space="preserve">   210320</v>
      </c>
      <c r="B47" t="str">
        <f>T("   Tomato ketchup et autres sauces tomates")</f>
        <v xml:space="preserve">   Tomato ketchup et autres sauces tomates</v>
      </c>
      <c r="C47">
        <v>173164</v>
      </c>
      <c r="D47">
        <v>696</v>
      </c>
    </row>
    <row r="48" spans="1:4" x14ac:dyDescent="0.25">
      <c r="A48" t="str">
        <f>T("   210390")</f>
        <v xml:space="preserve">   210390</v>
      </c>
      <c r="B48"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48">
        <v>5767492</v>
      </c>
      <c r="D48">
        <v>12667</v>
      </c>
    </row>
    <row r="49" spans="1:4" x14ac:dyDescent="0.25">
      <c r="A49" t="str">
        <f>T("   210420")</f>
        <v xml:space="preserve">   210420</v>
      </c>
      <c r="B49" t="s">
        <v>59</v>
      </c>
      <c r="C49">
        <v>150037</v>
      </c>
      <c r="D49">
        <v>590</v>
      </c>
    </row>
    <row r="50" spans="1:4" x14ac:dyDescent="0.25">
      <c r="A50" t="str">
        <f>T("   220110")</f>
        <v xml:space="preserve">   220110</v>
      </c>
      <c r="B50" t="str">
        <f>T("   Eaux minérales et eaux gazéifiées, non additionnées de sucre ou d'autres édulcorants ni aromatisées")</f>
        <v xml:space="preserve">   Eaux minérales et eaux gazéifiées, non additionnées de sucre ou d'autres édulcorants ni aromatisées</v>
      </c>
      <c r="C50">
        <v>724977</v>
      </c>
      <c r="D50">
        <v>4802</v>
      </c>
    </row>
    <row r="51" spans="1:4" x14ac:dyDescent="0.25">
      <c r="A51" t="str">
        <f>T("   220210")</f>
        <v xml:space="preserve">   220210</v>
      </c>
      <c r="B51"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51">
        <v>1276128</v>
      </c>
      <c r="D51">
        <v>700</v>
      </c>
    </row>
    <row r="52" spans="1:4" x14ac:dyDescent="0.25">
      <c r="A52" t="str">
        <f>T("   220290")</f>
        <v xml:space="preserve">   220290</v>
      </c>
      <c r="B52" t="str">
        <f>T("   BOISSONS NON-ALCOOLIQUES (À L'EXCL. DES EAUX, DES JUS DE FRUITS OU DE LÉGUMES AINSI QUE DU LAIT)")</f>
        <v xml:space="preserve">   BOISSONS NON-ALCOOLIQUES (À L'EXCL. DES EAUX, DES JUS DE FRUITS OU DE LÉGUMES AINSI QUE DU LAIT)</v>
      </c>
      <c r="C52">
        <v>24800794</v>
      </c>
      <c r="D52">
        <v>81579.649999999994</v>
      </c>
    </row>
    <row r="53" spans="1:4" x14ac:dyDescent="0.25">
      <c r="A53" t="str">
        <f>T("   220300")</f>
        <v xml:space="preserve">   220300</v>
      </c>
      <c r="B53" t="str">
        <f>T("   Bières de malt")</f>
        <v xml:space="preserve">   Bières de malt</v>
      </c>
      <c r="C53">
        <v>23785349</v>
      </c>
      <c r="D53">
        <v>114906</v>
      </c>
    </row>
    <row r="54" spans="1:4" x14ac:dyDescent="0.25">
      <c r="A54" t="str">
        <f>T("   220870")</f>
        <v xml:space="preserve">   220870</v>
      </c>
      <c r="B54" t="str">
        <f>T("   LIQUEURS")</f>
        <v xml:space="preserve">   LIQUEURS</v>
      </c>
      <c r="C54">
        <v>1004700</v>
      </c>
      <c r="D54">
        <v>2585</v>
      </c>
    </row>
    <row r="55" spans="1:4" x14ac:dyDescent="0.25">
      <c r="A55" t="str">
        <f>T("   240220")</f>
        <v xml:space="preserve">   240220</v>
      </c>
      <c r="B55" t="str">
        <f>T("   Cigarettes contenant du tabac")</f>
        <v xml:space="preserve">   Cigarettes contenant du tabac</v>
      </c>
      <c r="C55">
        <v>344963897</v>
      </c>
      <c r="D55">
        <v>175534</v>
      </c>
    </row>
    <row r="56" spans="1:4" x14ac:dyDescent="0.25">
      <c r="A56" t="str">
        <f>T("   250100")</f>
        <v xml:space="preserve">   250100</v>
      </c>
      <c r="B56" t="s">
        <v>63</v>
      </c>
      <c r="C56">
        <v>77824</v>
      </c>
      <c r="D56">
        <v>570</v>
      </c>
    </row>
    <row r="57" spans="1:4" x14ac:dyDescent="0.25">
      <c r="A57" t="str">
        <f>T("   271019")</f>
        <v xml:space="preserve">   271019</v>
      </c>
      <c r="B57" t="str">
        <f>T("   Huiles moyennes et préparations, de pétrole ou de minéraux bitumineux, n.d.a.")</f>
        <v xml:space="preserve">   Huiles moyennes et préparations, de pétrole ou de minéraux bitumineux, n.d.a.</v>
      </c>
      <c r="C57">
        <v>733339712</v>
      </c>
      <c r="D57">
        <v>1592655</v>
      </c>
    </row>
    <row r="58" spans="1:4" x14ac:dyDescent="0.25">
      <c r="A58" t="str">
        <f>T("   290345")</f>
        <v xml:space="preserve">   290345</v>
      </c>
      <c r="B58" t="str">
        <f>T("   Dérivés des hydrocarbures acycliques, perhalogénés uniquement avec du fluor et du chlore (à l'excl. du trichlorofluorométhane, du dichlorodifluorométhane, des trichlorotrifluoroéthanes, des dichlorotétrafluoroéthanes et du chloropentafluoroéthane)")</f>
        <v xml:space="preserve">   Dérivés des hydrocarbures acycliques, perhalogénés uniquement avec du fluor et du chlore (à l'excl. du trichlorofluorométhane, du dichlorodifluorométhane, des trichlorotrifluoroéthanes, des dichlorotétrafluoroéthanes et du chloropentafluoroéthane)</v>
      </c>
      <c r="C58">
        <v>1340000</v>
      </c>
      <c r="D58">
        <v>537</v>
      </c>
    </row>
    <row r="59" spans="1:4" x14ac:dyDescent="0.25">
      <c r="A59" t="str">
        <f>T("   320890")</f>
        <v xml:space="preserve">   320890</v>
      </c>
      <c r="B59" t="s">
        <v>97</v>
      </c>
      <c r="C59">
        <v>1444949</v>
      </c>
      <c r="D59">
        <v>3200</v>
      </c>
    </row>
    <row r="60" spans="1:4" x14ac:dyDescent="0.25">
      <c r="A60" t="str">
        <f>T("   320910")</f>
        <v xml:space="preserve">   320910</v>
      </c>
      <c r="B60" t="str">
        <f>T("   Peintures et vernis à base de polymères acryliques ou vinyliques, dispersés ou dissous dans un milieu aqueux")</f>
        <v xml:space="preserve">   Peintures et vernis à base de polymères acryliques ou vinyliques, dispersés ou dissous dans un milieu aqueux</v>
      </c>
      <c r="C60">
        <v>34603</v>
      </c>
      <c r="D60">
        <v>80</v>
      </c>
    </row>
    <row r="61" spans="1:4" x14ac:dyDescent="0.25">
      <c r="A61" t="str">
        <f>T("   320990")</f>
        <v xml:space="preserve">   320990</v>
      </c>
      <c r="B61" t="str">
        <f>T("   Peintures et vernis à base de polymères synthétiques ou de polymères naturels modifiés, dispersés ou dissous dans un milieu aqueux (à l'excl. des produits à base de polymères acryliques ou vinyliques)")</f>
        <v xml:space="preserve">   Peintures et vernis à base de polymères synthétiques ou de polymères naturels modifiés, dispersés ou dissous dans un milieu aqueux (à l'excl. des produits à base de polymères acryliques ou vinyliques)</v>
      </c>
      <c r="C61">
        <v>3515000</v>
      </c>
      <c r="D61">
        <v>31551</v>
      </c>
    </row>
    <row r="62" spans="1:4" x14ac:dyDescent="0.25">
      <c r="A62" t="str">
        <f>T("   321519")</f>
        <v xml:space="preserve">   321519</v>
      </c>
      <c r="B62" t="str">
        <f>T("   Encres d'imprimerie, même concentrées ou sous formes solides (à l'excl. des encres noires)")</f>
        <v xml:space="preserve">   Encres d'imprimerie, même concentrées ou sous formes solides (à l'excl. des encres noires)</v>
      </c>
      <c r="C62">
        <v>508111</v>
      </c>
      <c r="D62">
        <v>478</v>
      </c>
    </row>
    <row r="63" spans="1:4" x14ac:dyDescent="0.25">
      <c r="A63" t="str">
        <f>T("   321590")</f>
        <v xml:space="preserve">   321590</v>
      </c>
      <c r="B63" t="str">
        <f>T("   Encres à écrire et à dessiner, même concentrées ou sous formes solides")</f>
        <v xml:space="preserve">   Encres à écrire et à dessiner, même concentrées ou sous formes solides</v>
      </c>
      <c r="C63">
        <v>24413972</v>
      </c>
      <c r="D63">
        <v>402</v>
      </c>
    </row>
    <row r="64" spans="1:4" x14ac:dyDescent="0.25">
      <c r="A64" t="str">
        <f>T("   330790")</f>
        <v xml:space="preserve">   330790</v>
      </c>
      <c r="B64" t="str">
        <f>T("   Dépilatoires, autres produits de parfumerie ou de toilette préparés et autres préparations cosmétiques, n.d.a.")</f>
        <v xml:space="preserve">   Dépilatoires, autres produits de parfumerie ou de toilette préparés et autres préparations cosmétiques, n.d.a.</v>
      </c>
      <c r="C64">
        <v>119372</v>
      </c>
      <c r="D64">
        <v>111</v>
      </c>
    </row>
    <row r="65" spans="1:4" x14ac:dyDescent="0.25">
      <c r="A65" t="str">
        <f>T("   340119")</f>
        <v xml:space="preserve">   340119</v>
      </c>
      <c r="B65" t="s">
        <v>103</v>
      </c>
      <c r="C65">
        <v>365288</v>
      </c>
      <c r="D65">
        <v>6372</v>
      </c>
    </row>
    <row r="66" spans="1:4" x14ac:dyDescent="0.25">
      <c r="A66" t="str">
        <f>T("   340319")</f>
        <v xml:space="preserve">   340319</v>
      </c>
      <c r="B66" t="s">
        <v>106</v>
      </c>
      <c r="C66">
        <v>424704</v>
      </c>
      <c r="D66">
        <v>717</v>
      </c>
    </row>
    <row r="67" spans="1:4" x14ac:dyDescent="0.25">
      <c r="A67" t="str">
        <f>T("   360500")</f>
        <v xml:space="preserve">   360500</v>
      </c>
      <c r="B67" t="str">
        <f>T("   Allumettes (autres que les articles de pyrotechnie du n° 3604)")</f>
        <v xml:space="preserve">   Allumettes (autres que les articles de pyrotechnie du n° 3604)</v>
      </c>
      <c r="C67">
        <v>10101961</v>
      </c>
      <c r="D67">
        <v>18165</v>
      </c>
    </row>
    <row r="68" spans="1:4" x14ac:dyDescent="0.25">
      <c r="A68" t="str">
        <f>T("   380810")</f>
        <v xml:space="preserve">   380810</v>
      </c>
      <c r="B68" t="str">
        <f>T("   Insecticides présentés dans des formes ou emballages de vente au détail ou à l'état de préparations ou sous forme d'articles")</f>
        <v xml:space="preserve">   Insecticides présentés dans des formes ou emballages de vente au détail ou à l'état de préparations ou sous forme d'articles</v>
      </c>
      <c r="C68">
        <v>8661472</v>
      </c>
      <c r="D68">
        <v>24288</v>
      </c>
    </row>
    <row r="69" spans="1:4" x14ac:dyDescent="0.25">
      <c r="A69" t="str">
        <f>T("   381121")</f>
        <v xml:space="preserve">   381121</v>
      </c>
      <c r="B69" t="str">
        <f>T("   Additifs préparés pour huiles lubrifiantes, contenant des huiles de pétrole ou de minéraux bitumineux")</f>
        <v xml:space="preserve">   Additifs préparés pour huiles lubrifiantes, contenant des huiles de pétrole ou de minéraux bitumineux</v>
      </c>
      <c r="C69">
        <v>260766</v>
      </c>
      <c r="D69">
        <v>725</v>
      </c>
    </row>
    <row r="70" spans="1:4" x14ac:dyDescent="0.25">
      <c r="A70" t="str">
        <f>T("   381400")</f>
        <v xml:space="preserve">   381400</v>
      </c>
      <c r="B70" t="str">
        <f>T("   Solvants et diluants organiques composites, n.d.a.; préparations conçues pour enlever les peintures ou les vernis (à l'excl. des dissolvants pour vernis à ongles)")</f>
        <v xml:space="preserve">   Solvants et diluants organiques composites, n.d.a.; préparations conçues pour enlever les peintures ou les vernis (à l'excl. des dissolvants pour vernis à ongles)</v>
      </c>
      <c r="C70">
        <v>722721</v>
      </c>
      <c r="D70">
        <v>2106</v>
      </c>
    </row>
    <row r="71" spans="1:4" x14ac:dyDescent="0.25">
      <c r="A71" t="str">
        <f>T("   381900")</f>
        <v xml:space="preserve">   381900</v>
      </c>
      <c r="B71" t="str">
        <f>T("   Liquides pour freins hydrauliques et autres liquides préparés pour transmissions hydrauliques, ne contenant ni huiles de pétrole ni huiles de minéraux bitumineux ou en contenant &lt; 70% en poids")</f>
        <v xml:space="preserve">   Liquides pour freins hydrauliques et autres liquides préparés pour transmissions hydrauliques, ne contenant ni huiles de pétrole ni huiles de minéraux bitumineux ou en contenant &lt; 70% en poids</v>
      </c>
      <c r="C71">
        <v>73233469</v>
      </c>
      <c r="D71">
        <v>76691</v>
      </c>
    </row>
    <row r="72" spans="1:4" x14ac:dyDescent="0.25">
      <c r="A72" t="str">
        <f>T("   391729")</f>
        <v xml:space="preserve">   391729</v>
      </c>
      <c r="B72" t="str">
        <f>T("   TUBES ET TUYAUX RIGIDES, EN MATIÈRES PLASTIQUES (À L'EXCL. DES TUBES ET TUYAUX EN POLYMÈRES DE L'ÉTHYLÈNE, DU PROPYLÈNE OU DU CHLORURE DE VINYLE)")</f>
        <v xml:space="preserve">   TUBES ET TUYAUX RIGIDES, EN MATIÈRES PLASTIQUES (À L'EXCL. DES TUBES ET TUYAUX EN POLYMÈRES DE L'ÉTHYLÈNE, DU PROPYLÈNE OU DU CHLORURE DE VINYLE)</v>
      </c>
      <c r="C72">
        <v>2493144</v>
      </c>
      <c r="D72">
        <v>4538</v>
      </c>
    </row>
    <row r="73" spans="1:4" x14ac:dyDescent="0.25">
      <c r="A73" t="str">
        <f>T("   391739")</f>
        <v xml:space="preserve">   391739</v>
      </c>
      <c r="B73" t="str">
        <f>T("   TUBES ET TUYAUX SOUPLES, EN MATIÈRES PLASTIQUES, RENFORCÉS D'AUTRES MATIÈRES OU ASSOCIÉS À D'AUTRES MATIÈRES (À L'EXCL. DES PRODUITS POUVANT SUPPORTER UNE PRESSION &gt;= 27,6 MPA)")</f>
        <v xml:space="preserve">   TUBES ET TUYAUX SOUPLES, EN MATIÈRES PLASTIQUES, RENFORCÉS D'AUTRES MATIÈRES OU ASSOCIÉS À D'AUTRES MATIÈRES (À L'EXCL. DES PRODUITS POUVANT SUPPORTER UNE PRESSION &gt;= 27,6 MPA)</v>
      </c>
      <c r="C73">
        <v>770000</v>
      </c>
      <c r="D73">
        <v>10800</v>
      </c>
    </row>
    <row r="74" spans="1:4" x14ac:dyDescent="0.25">
      <c r="A74" t="str">
        <f>T("   391890")</f>
        <v xml:space="preserve">   391890</v>
      </c>
      <c r="B74" t="s">
        <v>132</v>
      </c>
      <c r="C74">
        <v>479350</v>
      </c>
      <c r="D74">
        <v>1000</v>
      </c>
    </row>
    <row r="75" spans="1:4" x14ac:dyDescent="0.25">
      <c r="A75" t="str">
        <f>T("   392049")</f>
        <v xml:space="preserve">   392049</v>
      </c>
      <c r="B75" t="s">
        <v>138</v>
      </c>
      <c r="C75">
        <v>4314150</v>
      </c>
      <c r="D75">
        <v>6600</v>
      </c>
    </row>
    <row r="76" spans="1:4" x14ac:dyDescent="0.25">
      <c r="A76" t="str">
        <f>T("   392112")</f>
        <v xml:space="preserve">   392112</v>
      </c>
      <c r="B76" t="s">
        <v>146</v>
      </c>
      <c r="C76">
        <v>1886242</v>
      </c>
      <c r="D76">
        <v>1757</v>
      </c>
    </row>
    <row r="77" spans="1:4" x14ac:dyDescent="0.25">
      <c r="A77" t="str">
        <f>T("   392210")</f>
        <v xml:space="preserve">   392210</v>
      </c>
      <c r="B77" t="str">
        <f>T("   Baignoires, douches, éviers et lavabos, en matières plastiques")</f>
        <v xml:space="preserve">   Baignoires, douches, éviers et lavabos, en matières plastiques</v>
      </c>
      <c r="C77">
        <v>1049297</v>
      </c>
      <c r="D77">
        <v>1134</v>
      </c>
    </row>
    <row r="78" spans="1:4" x14ac:dyDescent="0.25">
      <c r="A78" t="str">
        <f>T("   392290")</f>
        <v xml:space="preserve">   392290</v>
      </c>
      <c r="B78" t="str">
        <f>T("   Bidets, cuvettes d'aisance, réservoirs de chasse et articles simil. pour usages sanitaires ou hygiéniques, en matières plastiques (à l'excl. des baignoires, des douches, d'éviers, des lavabos ainsi que des sièges et couvercles de cuvettes d'aisance)")</f>
        <v xml:space="preserve">   Bidets, cuvettes d'aisance, réservoirs de chasse et articles simil. pour usages sanitaires ou hygiéniques, en matières plastiques (à l'excl. des baignoires, des douches, d'éviers, des lavabos ainsi que des sièges et couvercles de cuvettes d'aisance)</v>
      </c>
      <c r="C78">
        <v>1000000</v>
      </c>
      <c r="D78">
        <v>5435</v>
      </c>
    </row>
    <row r="79" spans="1:4" x14ac:dyDescent="0.25">
      <c r="A79" t="str">
        <f>T("   392329")</f>
        <v xml:space="preserve">   392329</v>
      </c>
      <c r="B79" t="str">
        <f>T("   Sacs, sachets, pochettes et cornets, en matières plastiques (autres que les polymères de l'éthylène)")</f>
        <v xml:space="preserve">   Sacs, sachets, pochettes et cornets, en matières plastiques (autres que les polymères de l'éthylène)</v>
      </c>
      <c r="C79">
        <v>86206</v>
      </c>
      <c r="D79">
        <v>18.670000000000002</v>
      </c>
    </row>
    <row r="80" spans="1:4" x14ac:dyDescent="0.25">
      <c r="A80" t="str">
        <f>T("   392410")</f>
        <v xml:space="preserve">   392410</v>
      </c>
      <c r="B80" t="str">
        <f>T("   Vaisselle et autres articles pour le service de la table ou de la cuisine, en matières plastiques")</f>
        <v xml:space="preserve">   Vaisselle et autres articles pour le service de la table ou de la cuisine, en matières plastiques</v>
      </c>
      <c r="C80">
        <v>3745466</v>
      </c>
      <c r="D80">
        <v>8490</v>
      </c>
    </row>
    <row r="81" spans="1:4" x14ac:dyDescent="0.25">
      <c r="A81" t="str">
        <f>T("   392490")</f>
        <v xml:space="preserve">   392490</v>
      </c>
      <c r="B81" t="s">
        <v>151</v>
      </c>
      <c r="C81">
        <v>1360000</v>
      </c>
      <c r="D81">
        <v>1000</v>
      </c>
    </row>
    <row r="82" spans="1:4" x14ac:dyDescent="0.25">
      <c r="A82" t="str">
        <f>T("   392590")</f>
        <v xml:space="preserve">   392590</v>
      </c>
      <c r="B82" t="s">
        <v>152</v>
      </c>
      <c r="C82">
        <v>1095453</v>
      </c>
      <c r="D82">
        <v>5714</v>
      </c>
    </row>
    <row r="83" spans="1:4" x14ac:dyDescent="0.25">
      <c r="A83" t="str">
        <f>T("   392690")</f>
        <v xml:space="preserve">   392690</v>
      </c>
      <c r="B83" t="str">
        <f>T("   Ouvrages en matières plastiques et ouvrages en autres matières du n° 3901 à 3914, n.d.a.")</f>
        <v xml:space="preserve">   Ouvrages en matières plastiques et ouvrages en autres matières du n° 3901 à 3914, n.d.a.</v>
      </c>
      <c r="C83">
        <v>848947</v>
      </c>
      <c r="D83">
        <v>3683</v>
      </c>
    </row>
    <row r="84" spans="1:4" x14ac:dyDescent="0.25">
      <c r="A84" t="str">
        <f>T("   400912")</f>
        <v xml:space="preserve">   400912</v>
      </c>
      <c r="B84" t="str">
        <f>T("   TUBES ET TUYAUX EN CAOUTCHOUC VULCANISÉ NON DURCI, NON RENFORCÉS À L'AIDE D'AUTRES MATIÈRES NI AUTREMENT ASSOCIÉS À D'AUTRES MATIÈRES, AVEC ACCESSOIRES [JOINTS, COUDES, RACCORDS, PAR EXEMPLE]")</f>
        <v xml:space="preserve">   TUBES ET TUYAUX EN CAOUTCHOUC VULCANISÉ NON DURCI, NON RENFORCÉS À L'AIDE D'AUTRES MATIÈRES NI AUTREMENT ASSOCIÉS À D'AUTRES MATIÈRES, AVEC ACCESSOIRES [JOINTS, COUDES, RACCORDS, PAR EXEMPLE]</v>
      </c>
      <c r="C84">
        <v>582030</v>
      </c>
      <c r="D84">
        <v>45</v>
      </c>
    </row>
    <row r="85" spans="1:4" x14ac:dyDescent="0.25">
      <c r="A85" t="str">
        <f>T("   401110")</f>
        <v xml:space="preserve">   401110</v>
      </c>
      <c r="B85"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85">
        <v>155646446</v>
      </c>
      <c r="D85">
        <v>64859</v>
      </c>
    </row>
    <row r="86" spans="1:4" x14ac:dyDescent="0.25">
      <c r="A86" t="str">
        <f>T("   401120")</f>
        <v xml:space="preserve">   401120</v>
      </c>
      <c r="B86"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86">
        <v>83539351</v>
      </c>
      <c r="D86">
        <v>70902</v>
      </c>
    </row>
    <row r="87" spans="1:4" x14ac:dyDescent="0.25">
      <c r="A87" t="str">
        <f>T("   401220")</f>
        <v xml:space="preserve">   401220</v>
      </c>
      <c r="B87" t="str">
        <f>T("   Pneumatiques usagés, en caoutchouc")</f>
        <v xml:space="preserve">   Pneumatiques usagés, en caoutchouc</v>
      </c>
      <c r="C87">
        <v>5094185</v>
      </c>
      <c r="D87">
        <v>27660</v>
      </c>
    </row>
    <row r="88" spans="1:4" x14ac:dyDescent="0.25">
      <c r="A88" t="str">
        <f>T("   401699")</f>
        <v xml:space="preserve">   401699</v>
      </c>
      <c r="B88" t="str">
        <f>T("   OUVRAGES EN CAOUTCHOUC VULCANISÉ NON-DURCI, N.D.A.")</f>
        <v xml:space="preserve">   OUVRAGES EN CAOUTCHOUC VULCANISÉ NON-DURCI, N.D.A.</v>
      </c>
      <c r="C88">
        <v>2187</v>
      </c>
      <c r="D88">
        <v>5</v>
      </c>
    </row>
    <row r="89" spans="1:4" x14ac:dyDescent="0.25">
      <c r="A89" t="str">
        <f>T("   420212")</f>
        <v xml:space="preserve">   420212</v>
      </c>
      <c r="B89" t="str">
        <f>T("   Malles, valises et mallettes, y.c. les mallettes de toilette et les mallettes porte-documents, serviettes, cartables et contenants simil., à surface extérieure en matières plastiques ou en matières textiles")</f>
        <v xml:space="preserve">   Malles, valises et mallettes, y.c. les mallettes de toilette et les mallettes porte-documents, serviettes, cartables et contenants simil., à surface extérieure en matières plastiques ou en matières textiles</v>
      </c>
      <c r="C89">
        <v>503318</v>
      </c>
      <c r="D89">
        <v>3074</v>
      </c>
    </row>
    <row r="90" spans="1:4" x14ac:dyDescent="0.25">
      <c r="A90" t="str">
        <f>T("   420219")</f>
        <v xml:space="preserve">   420219</v>
      </c>
      <c r="B90" t="s">
        <v>162</v>
      </c>
      <c r="C90">
        <v>1028684</v>
      </c>
      <c r="D90">
        <v>9500</v>
      </c>
    </row>
    <row r="91" spans="1:4" x14ac:dyDescent="0.25">
      <c r="A91" t="str">
        <f>T("   420229")</f>
        <v xml:space="preserve">   420229</v>
      </c>
      <c r="B91"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91">
        <v>526238</v>
      </c>
      <c r="D91">
        <v>2214</v>
      </c>
    </row>
    <row r="92" spans="1:4" x14ac:dyDescent="0.25">
      <c r="A92" t="str">
        <f>T("   420299")</f>
        <v xml:space="preserve">   420299</v>
      </c>
      <c r="B92" t="s">
        <v>165</v>
      </c>
      <c r="C92">
        <v>1360000</v>
      </c>
      <c r="D92">
        <v>1115</v>
      </c>
    </row>
    <row r="93" spans="1:4" x14ac:dyDescent="0.25">
      <c r="A93" t="str">
        <f>T("   481820")</f>
        <v xml:space="preserve">   481820</v>
      </c>
      <c r="B93" t="str">
        <f>T("   Mouchoirs, serviettes à démaquiller et essuie-mains, en pâte à papier, papier, ouate de cellulose ou nappes de fibres de cellulose")</f>
        <v xml:space="preserve">   Mouchoirs, serviettes à démaquiller et essuie-mains, en pâte à papier, papier, ouate de cellulose ou nappes de fibres de cellulose</v>
      </c>
      <c r="C93">
        <v>306538</v>
      </c>
      <c r="D93">
        <v>800</v>
      </c>
    </row>
    <row r="94" spans="1:4" x14ac:dyDescent="0.25">
      <c r="A94" t="str">
        <f>T("   490199")</f>
        <v xml:space="preserve">   490199</v>
      </c>
      <c r="B94"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94">
        <v>219950</v>
      </c>
      <c r="D94">
        <v>140</v>
      </c>
    </row>
    <row r="95" spans="1:4" x14ac:dyDescent="0.25">
      <c r="A95" t="str">
        <f>T("   491110")</f>
        <v xml:space="preserve">   491110</v>
      </c>
      <c r="B95" t="str">
        <f>T("   Imprimés publicitaires, catalogues commerciaux et simil.")</f>
        <v xml:space="preserve">   Imprimés publicitaires, catalogues commerciaux et simil.</v>
      </c>
      <c r="C95">
        <v>156796</v>
      </c>
      <c r="D95">
        <v>59</v>
      </c>
    </row>
    <row r="96" spans="1:4" x14ac:dyDescent="0.25">
      <c r="A96" t="str">
        <f>T("   491199")</f>
        <v xml:space="preserve">   491199</v>
      </c>
      <c r="B96" t="str">
        <f>T("   Imprimés, n.d.a.")</f>
        <v xml:space="preserve">   Imprimés, n.d.a.</v>
      </c>
      <c r="C96">
        <v>10525</v>
      </c>
      <c r="D96">
        <v>3</v>
      </c>
    </row>
    <row r="97" spans="1:4" x14ac:dyDescent="0.25">
      <c r="A97" t="str">
        <f>T("   520419")</f>
        <v xml:space="preserve">   520419</v>
      </c>
      <c r="B97" t="str">
        <f>T("   Fils à coudre de coton, contenant en prédominance, mais &lt; 85% en poids de coton, non conditionnés pour la vente au détail")</f>
        <v xml:space="preserve">   Fils à coudre de coton, contenant en prédominance, mais &lt; 85% en poids de coton, non conditionnés pour la vente au détail</v>
      </c>
      <c r="C97">
        <v>106895</v>
      </c>
      <c r="D97">
        <v>80</v>
      </c>
    </row>
    <row r="98" spans="1:4" x14ac:dyDescent="0.25">
      <c r="A98" t="str">
        <f>T("   520851")</f>
        <v xml:space="preserve">   520851</v>
      </c>
      <c r="B98" t="str">
        <f>T("   Tissus de coton, imprimés, à armure toile, contenant &gt;= 85% en poids de coton, d'un poids &lt;= 100 g/m²")</f>
        <v xml:space="preserve">   Tissus de coton, imprimés, à armure toile, contenant &gt;= 85% en poids de coton, d'un poids &lt;= 100 g/m²</v>
      </c>
      <c r="C98">
        <v>345103</v>
      </c>
      <c r="D98">
        <v>40</v>
      </c>
    </row>
    <row r="99" spans="1:4" x14ac:dyDescent="0.25">
      <c r="A99" t="str">
        <f>T("   530710")</f>
        <v xml:space="preserve">   530710</v>
      </c>
      <c r="B99" t="str">
        <f>T("   Fils de jute ou d'autres fibres textiles libériennes du n° 5303, simples")</f>
        <v xml:space="preserve">   Fils de jute ou d'autres fibres textiles libériennes du n° 5303, simples</v>
      </c>
      <c r="C99">
        <v>50332</v>
      </c>
      <c r="D99">
        <v>40</v>
      </c>
    </row>
    <row r="100" spans="1:4" x14ac:dyDescent="0.25">
      <c r="A100" t="str">
        <f>T("   551229")</f>
        <v xml:space="preserve">   551229</v>
      </c>
      <c r="B100" t="str">
        <f>T("   Tissus, teints, imprimés ou en fils de diverses couleurs, de fibres discontinues acryliques ou modacryliques, contenant &gt;= 85% en poids de ces fibres")</f>
        <v xml:space="preserve">   Tissus, teints, imprimés ou en fils de diverses couleurs, de fibres discontinues acryliques ou modacryliques, contenant &gt;= 85% en poids de ces fibres</v>
      </c>
      <c r="C100">
        <v>346489</v>
      </c>
      <c r="D100">
        <v>40</v>
      </c>
    </row>
    <row r="101" spans="1:4" x14ac:dyDescent="0.25">
      <c r="A101" t="str">
        <f>T("   551599")</f>
        <v xml:space="preserve">   551599</v>
      </c>
      <c r="B101" t="s">
        <v>243</v>
      </c>
      <c r="C101">
        <v>739923</v>
      </c>
      <c r="D101">
        <v>850</v>
      </c>
    </row>
    <row r="102" spans="1:4" x14ac:dyDescent="0.25">
      <c r="A102" t="str">
        <f>T("   570500")</f>
        <v xml:space="preserve">   570500</v>
      </c>
      <c r="B102" t="str">
        <f>T("   Tapis et autres revêtements de sol en matières textiles, même confectionnés (à l'excl. à points noués ou enroulés, tissés, touffetés ou en feutre)")</f>
        <v xml:space="preserve">   Tapis et autres revêtements de sol en matières textiles, même confectionnés (à l'excl. à points noués ou enroulés, tissés, touffetés ou en feutre)</v>
      </c>
      <c r="C102">
        <v>1818090</v>
      </c>
      <c r="D102">
        <v>2370</v>
      </c>
    </row>
    <row r="103" spans="1:4" x14ac:dyDescent="0.25">
      <c r="A103" t="str">
        <f>T("   580620")</f>
        <v xml:space="preserve">   580620</v>
      </c>
      <c r="B103" t="s">
        <v>254</v>
      </c>
      <c r="C103">
        <v>379616</v>
      </c>
      <c r="D103">
        <v>125</v>
      </c>
    </row>
    <row r="104" spans="1:4" x14ac:dyDescent="0.25">
      <c r="A104" t="str">
        <f>T("   580890")</f>
        <v xml:space="preserve">   580890</v>
      </c>
      <c r="B104" t="s">
        <v>255</v>
      </c>
      <c r="C104">
        <v>800000</v>
      </c>
      <c r="D104">
        <v>100</v>
      </c>
    </row>
    <row r="105" spans="1:4" x14ac:dyDescent="0.25">
      <c r="A105" t="str">
        <f>T("   581099")</f>
        <v xml:space="preserve">   581099</v>
      </c>
      <c r="B105" t="str">
        <f>T("   Broderies de matières textiles, sur support de matières textiles, en pièces, en bandes ou en motifs (à l'excl. des broderies en coton ou en fibres synthétiques ou artificielles, des broderies chimiques ou aériennes et des broderies à fond découpé)")</f>
        <v xml:space="preserve">   Broderies de matières textiles, sur support de matières textiles, en pièces, en bandes ou en motifs (à l'excl. des broderies en coton ou en fibres synthétiques ou artificielles, des broderies chimiques ou aériennes et des broderies à fond découpé)</v>
      </c>
      <c r="C105">
        <v>700565</v>
      </c>
      <c r="D105">
        <v>300</v>
      </c>
    </row>
    <row r="106" spans="1:4" x14ac:dyDescent="0.25">
      <c r="A106" t="str">
        <f>T("   590310")</f>
        <v xml:space="preserve">   590310</v>
      </c>
      <c r="B106" t="s">
        <v>256</v>
      </c>
      <c r="C106">
        <v>181180</v>
      </c>
      <c r="D106">
        <v>40</v>
      </c>
    </row>
    <row r="107" spans="1:4" x14ac:dyDescent="0.25">
      <c r="A107" t="str">
        <f>T("   610910")</f>
        <v xml:space="preserve">   610910</v>
      </c>
      <c r="B107" t="str">
        <f>T("   T-shirts et maillots de corps, en bonneterie, de coton,")</f>
        <v xml:space="preserve">   T-shirts et maillots de corps, en bonneterie, de coton,</v>
      </c>
      <c r="C107">
        <v>48786</v>
      </c>
      <c r="D107">
        <v>513.67999999999995</v>
      </c>
    </row>
    <row r="108" spans="1:4" x14ac:dyDescent="0.25">
      <c r="A108" t="str">
        <f>T("   610990")</f>
        <v xml:space="preserve">   610990</v>
      </c>
      <c r="B108" t="str">
        <f>T("   T-shirts et maillots de corps, en bonneterie, de matières textiles (sauf de coton)")</f>
        <v xml:space="preserve">   T-shirts et maillots de corps, en bonneterie, de matières textiles (sauf de coton)</v>
      </c>
      <c r="C108">
        <v>147624</v>
      </c>
      <c r="D108">
        <v>5</v>
      </c>
    </row>
    <row r="109" spans="1:4" x14ac:dyDescent="0.25">
      <c r="A109" t="str">
        <f>T("   611490")</f>
        <v xml:space="preserve">   611490</v>
      </c>
      <c r="B109" t="str">
        <f>T("   Vêtements spéciaux destinés à des fins professionnelles, sportives ou autres n.d.a., en bonneterie, de matières textiles (sauf de laine, poils fins, coton, fibres synthétiques ou artificielles)")</f>
        <v xml:space="preserve">   Vêtements spéciaux destinés à des fins professionnelles, sportives ou autres n.d.a., en bonneterie, de matières textiles (sauf de laine, poils fins, coton, fibres synthétiques ou artificielles)</v>
      </c>
      <c r="C109">
        <v>45059</v>
      </c>
      <c r="D109">
        <v>120</v>
      </c>
    </row>
    <row r="110" spans="1:4" x14ac:dyDescent="0.25">
      <c r="A110" t="str">
        <f>T("   621010")</f>
        <v xml:space="preserve">   621010</v>
      </c>
      <c r="B110" t="str">
        <f>T("   Vêtements en feutres ou non-tissés, même imprégnés, enduits, recouverts ou stratifiés (sauf vêtements pour bébés et sauf accessoires du vêtement)")</f>
        <v xml:space="preserve">   Vêtements en feutres ou non-tissés, même imprégnés, enduits, recouverts ou stratifiés (sauf vêtements pour bébés et sauf accessoires du vêtement)</v>
      </c>
      <c r="C110">
        <v>1001363</v>
      </c>
      <c r="D110">
        <v>1082</v>
      </c>
    </row>
    <row r="111" spans="1:4" x14ac:dyDescent="0.25">
      <c r="A111" t="str">
        <f>T("   621132")</f>
        <v xml:space="preserve">   621132</v>
      </c>
      <c r="B111" t="str">
        <f>T("   Survêtements de sport 'trainings' et autres vêtements n.d.a., de coton, pour hommes ou garçonnets (autres qu'en bonneterie)")</f>
        <v xml:space="preserve">   Survêtements de sport 'trainings' et autres vêtements n.d.a., de coton, pour hommes ou garçonnets (autres qu'en bonneterie)</v>
      </c>
      <c r="C111">
        <v>54432</v>
      </c>
      <c r="D111">
        <v>3</v>
      </c>
    </row>
    <row r="112" spans="1:4" x14ac:dyDescent="0.25">
      <c r="A112" t="str">
        <f>T("   621600")</f>
        <v xml:space="preserve">   621600</v>
      </c>
      <c r="B112" t="str">
        <f>T("   Gants, mitaines et moufles, en tous types de matières textiles (autres qu'en bonneterie et sauf gants pour bébés)")</f>
        <v xml:space="preserve">   Gants, mitaines et moufles, en tous types de matières textiles (autres qu'en bonneterie et sauf gants pour bébés)</v>
      </c>
      <c r="C112">
        <v>357115</v>
      </c>
      <c r="D112">
        <v>385</v>
      </c>
    </row>
    <row r="113" spans="1:4" x14ac:dyDescent="0.25">
      <c r="A113" t="str">
        <f>T("   630190")</f>
        <v xml:space="preserve">   630190</v>
      </c>
      <c r="B113" t="s">
        <v>274</v>
      </c>
      <c r="C113">
        <v>2047</v>
      </c>
      <c r="D113">
        <v>505</v>
      </c>
    </row>
    <row r="114" spans="1:4" x14ac:dyDescent="0.25">
      <c r="A114" t="str">
        <f>T("   630229")</f>
        <v xml:space="preserve">   630229</v>
      </c>
      <c r="B114" t="str">
        <f>T("   Linge de lit, de matières textiles, imprimé (autre que de coton, fibres synthétiques ou artificielles, autres qu'en bonneterie)")</f>
        <v xml:space="preserve">   Linge de lit, de matières textiles, imprimé (autre que de coton, fibres synthétiques ou artificielles, autres qu'en bonneterie)</v>
      </c>
      <c r="C114">
        <v>210563</v>
      </c>
      <c r="D114">
        <v>160</v>
      </c>
    </row>
    <row r="115" spans="1:4" x14ac:dyDescent="0.25">
      <c r="A115" t="str">
        <f>T("   630319")</f>
        <v xml:space="preserve">   630319</v>
      </c>
      <c r="B115" t="str">
        <f>T("   Vitrages, rideaux et stores d'intérieur ainsi que cantonnières et tours de lit, en bonneterie (autres que de coton et fibres synthétiques et autres que stores d'extérieur)")</f>
        <v xml:space="preserve">   Vitrages, rideaux et stores d'intérieur ainsi que cantonnières et tours de lit, en bonneterie (autres que de coton et fibres synthétiques et autres que stores d'extérieur)</v>
      </c>
      <c r="C115">
        <v>479350</v>
      </c>
      <c r="D115">
        <v>1000</v>
      </c>
    </row>
    <row r="116" spans="1:4" x14ac:dyDescent="0.25">
      <c r="A116" t="str">
        <f>T("   630499")</f>
        <v xml:space="preserve">   630499</v>
      </c>
      <c r="B116" t="s">
        <v>277</v>
      </c>
      <c r="C116">
        <v>2901712</v>
      </c>
      <c r="D116">
        <v>7400</v>
      </c>
    </row>
    <row r="117" spans="1:4" x14ac:dyDescent="0.25">
      <c r="A117" t="str">
        <f>T("   630533")</f>
        <v xml:space="preserve">   630533</v>
      </c>
      <c r="B117" t="str">
        <f>T("   Sacs et sachets d'emballage obtenus à partir de lames ou formes simil., de polyéthylène ou polypropylène (à l'excl. des contenants souples pour matières en vrac)")</f>
        <v xml:space="preserve">   Sacs et sachets d'emballage obtenus à partir de lames ou formes simil., de polyéthylène ou polypropylène (à l'excl. des contenants souples pour matières en vrac)</v>
      </c>
      <c r="C117">
        <v>7148281</v>
      </c>
      <c r="D117">
        <v>9110</v>
      </c>
    </row>
    <row r="118" spans="1:4" x14ac:dyDescent="0.25">
      <c r="A118" t="str">
        <f>T("   630539")</f>
        <v xml:space="preserve">   630539</v>
      </c>
      <c r="B118" t="str">
        <f>T("   Sacs et sachets d'emballage de matières synthétiques ou artificielles (autres qu'en lames ou formes simil. de polyéthylène ou de polypropylène ainsi que contenants souples pour matières en vrac)")</f>
        <v xml:space="preserve">   Sacs et sachets d'emballage de matières synthétiques ou artificielles (autres qu'en lames ou formes simil. de polyéthylène ou de polypropylène ainsi que contenants souples pour matières en vrac)</v>
      </c>
      <c r="C118">
        <v>16777</v>
      </c>
      <c r="D118">
        <v>28</v>
      </c>
    </row>
    <row r="119" spans="1:4" x14ac:dyDescent="0.25">
      <c r="A119" t="str">
        <f>T("   630790")</f>
        <v xml:space="preserve">   630790</v>
      </c>
      <c r="B119" t="str">
        <f>T("   Articles de matières textiles, confectionnés, y.c. les patrons de vêtements n.d.a.")</f>
        <v xml:space="preserve">   Articles de matières textiles, confectionnés, y.c. les patrons de vêtements n.d.a.</v>
      </c>
      <c r="C119">
        <v>111689</v>
      </c>
      <c r="D119">
        <v>121</v>
      </c>
    </row>
    <row r="120" spans="1:4" x14ac:dyDescent="0.25">
      <c r="A120" t="str">
        <f>T("   630900")</f>
        <v xml:space="preserve">   630900</v>
      </c>
      <c r="B120" t="s">
        <v>278</v>
      </c>
      <c r="C120">
        <v>63143323</v>
      </c>
      <c r="D120">
        <v>119967</v>
      </c>
    </row>
    <row r="121" spans="1:4" x14ac:dyDescent="0.25">
      <c r="A121" t="str">
        <f>T("   640590")</f>
        <v xml:space="preserve">   640590</v>
      </c>
      <c r="B121" t="s">
        <v>289</v>
      </c>
      <c r="C121">
        <v>522012</v>
      </c>
      <c r="D121">
        <v>720</v>
      </c>
    </row>
    <row r="122" spans="1:4" x14ac:dyDescent="0.25">
      <c r="A122" t="str">
        <f>T("   650699")</f>
        <v xml:space="preserve">   650699</v>
      </c>
      <c r="B122" t="str">
        <f>T("   Chapeaux et autres coiffures, même garnis, n.d.a.")</f>
        <v xml:space="preserve">   Chapeaux et autres coiffures, même garnis, n.d.a.</v>
      </c>
      <c r="C122">
        <v>1170573</v>
      </c>
      <c r="D122">
        <v>1265</v>
      </c>
    </row>
    <row r="123" spans="1:4" x14ac:dyDescent="0.25">
      <c r="A123" t="str">
        <f>T("   670290")</f>
        <v xml:space="preserve">   670290</v>
      </c>
      <c r="B123" t="str">
        <f>T("   Fleurs, feuillages et fruits artificiels, y.c. leurs parties; articles confectionnés en fleurs, feuillages ou fruits artificiels fabriqués par ligature, collage, emboîtage ou procédés simil. (autres qu'en matière plastique)")</f>
        <v xml:space="preserve">   Fleurs, feuillages et fruits artificiels, y.c. leurs parties; articles confectionnés en fleurs, feuillages ou fruits artificiels fabriqués par ligature, collage, emboîtage ou procédés simil. (autres qu'en matière plastique)</v>
      </c>
      <c r="C123">
        <v>1032596</v>
      </c>
      <c r="D123">
        <v>1538</v>
      </c>
    </row>
    <row r="124" spans="1:4" x14ac:dyDescent="0.25">
      <c r="A124" t="str">
        <f>T("   680221")</f>
        <v xml:space="preserve">   680221</v>
      </c>
      <c r="B124" t="s">
        <v>293</v>
      </c>
      <c r="C124">
        <v>1725000</v>
      </c>
      <c r="D124">
        <v>7000</v>
      </c>
    </row>
    <row r="125" spans="1:4" x14ac:dyDescent="0.25">
      <c r="A125" t="str">
        <f>T("   680291")</f>
        <v xml:space="preserve">   680291</v>
      </c>
      <c r="B125" t="s">
        <v>295</v>
      </c>
      <c r="C125">
        <v>9078157</v>
      </c>
      <c r="D125">
        <v>75950</v>
      </c>
    </row>
    <row r="126" spans="1:4" x14ac:dyDescent="0.25">
      <c r="A126" t="str">
        <f>T("   681310")</f>
        <v xml:space="preserve">   681310</v>
      </c>
      <c r="B126" t="str">
        <f>T("   Garnitures de freins et plaquettes de freins, à base d'amiante, d'autres substances minérales ou de cellulose, même combinées à des matières textiles ou d'autres matières et destinées aux aéronefs civils")</f>
        <v xml:space="preserve">   Garnitures de freins et plaquettes de freins, à base d'amiante, d'autres substances minérales ou de cellulose, même combinées à des matières textiles ou d'autres matières et destinées aux aéronefs civils</v>
      </c>
      <c r="C126">
        <v>68220</v>
      </c>
      <c r="D126">
        <v>84</v>
      </c>
    </row>
    <row r="127" spans="1:4" x14ac:dyDescent="0.25">
      <c r="A127" t="str">
        <f>T("   690790")</f>
        <v xml:space="preserve">   690790</v>
      </c>
      <c r="B127" t="s">
        <v>310</v>
      </c>
      <c r="C127">
        <v>126810174</v>
      </c>
      <c r="D127">
        <v>1210081.06</v>
      </c>
    </row>
    <row r="128" spans="1:4" x14ac:dyDescent="0.25">
      <c r="A128" t="str">
        <f>T("   690890")</f>
        <v xml:space="preserve">   690890</v>
      </c>
      <c r="B128" t="s">
        <v>311</v>
      </c>
      <c r="C128">
        <v>184773366</v>
      </c>
      <c r="D128">
        <v>2149502.94</v>
      </c>
    </row>
    <row r="129" spans="1:4" x14ac:dyDescent="0.25">
      <c r="A129" t="str">
        <f>T("   691010")</f>
        <v xml:space="preserve">   691010</v>
      </c>
      <c r="B129" t="s">
        <v>312</v>
      </c>
      <c r="C129">
        <v>12843220</v>
      </c>
      <c r="D129">
        <v>40790</v>
      </c>
    </row>
    <row r="130" spans="1:4" x14ac:dyDescent="0.25">
      <c r="A130" t="str">
        <f>T("   691090")</f>
        <v xml:space="preserve">   691090</v>
      </c>
      <c r="B130" t="s">
        <v>313</v>
      </c>
      <c r="C130">
        <v>11793191</v>
      </c>
      <c r="D130">
        <v>36242</v>
      </c>
    </row>
    <row r="131" spans="1:4" x14ac:dyDescent="0.25">
      <c r="A131" t="str">
        <f>T("   691190")</f>
        <v xml:space="preserve">   691190</v>
      </c>
      <c r="B131" t="s">
        <v>315</v>
      </c>
      <c r="C131">
        <v>703902</v>
      </c>
      <c r="D131">
        <v>2711</v>
      </c>
    </row>
    <row r="132" spans="1:4" x14ac:dyDescent="0.25">
      <c r="A132" t="str">
        <f>T("   700529")</f>
        <v xml:space="preserve">   700529</v>
      </c>
      <c r="B132" t="s">
        <v>318</v>
      </c>
      <c r="C132">
        <v>1038976</v>
      </c>
      <c r="D132">
        <v>6609</v>
      </c>
    </row>
    <row r="133" spans="1:4" x14ac:dyDescent="0.25">
      <c r="A133" t="str">
        <f>T("   701329")</f>
        <v xml:space="preserve">   701329</v>
      </c>
      <c r="B133" t="str">
        <f>T("   Verres à boire (autres qu'en vitrocérame, autres qu'en cristal au plomb)")</f>
        <v xml:space="preserve">   Verres à boire (autres qu'en vitrocérame, autres qu'en cristal au plomb)</v>
      </c>
      <c r="C133">
        <v>500497</v>
      </c>
      <c r="D133">
        <v>2500</v>
      </c>
    </row>
    <row r="134" spans="1:4" x14ac:dyDescent="0.25">
      <c r="A134" t="str">
        <f>T("   702000")</f>
        <v xml:space="preserve">   702000</v>
      </c>
      <c r="B134" t="str">
        <f>T("   Ouvrages en verre n.d.a.")</f>
        <v xml:space="preserve">   Ouvrages en verre n.d.a.</v>
      </c>
      <c r="C134">
        <v>1554551</v>
      </c>
      <c r="D134">
        <v>5000</v>
      </c>
    </row>
    <row r="135" spans="1:4" x14ac:dyDescent="0.25">
      <c r="A135" t="str">
        <f>T("   720917")</f>
        <v xml:space="preserve">   720917</v>
      </c>
      <c r="B135" t="str">
        <f>T("   PRODUITS LAMINÉS PLATS, EN FER OU EN ACIERS NON-ALLIÉS, D'UNE LARGEUR &gt;= 600 MM, NON-PLAQUÉS NI REVÊTUS, ENROULÉS, SIMPL. LAMINÉS À FROID, D'UNE ÉPAISSEUR &gt;= 0,5 MM MAIS &lt;= 1 MM")</f>
        <v xml:space="preserve">   PRODUITS LAMINÉS PLATS, EN FER OU EN ACIERS NON-ALLIÉS, D'UNE LARGEUR &gt;= 600 MM, NON-PLAQUÉS NI REVÊTUS, ENROULÉS, SIMPL. LAMINÉS À FROID, D'UNE ÉPAISSEUR &gt;= 0,5 MM MAIS &lt;= 1 MM</v>
      </c>
      <c r="C135">
        <v>295365013</v>
      </c>
      <c r="D135">
        <v>794283</v>
      </c>
    </row>
    <row r="136" spans="1:4" x14ac:dyDescent="0.25">
      <c r="A136" t="str">
        <f>T("   721030")</f>
        <v xml:space="preserve">   721030</v>
      </c>
      <c r="B136" t="str">
        <f>T("   Produits laminés plats, en fer ou en aciers non alliés, d'une largeur &gt;= 600 mm, laminés à chaud ou à froid, zingués électrolytiquement")</f>
        <v xml:space="preserve">   Produits laminés plats, en fer ou en aciers non alliés, d'une largeur &gt;= 600 mm, laminés à chaud ou à froid, zingués électrolytiquement</v>
      </c>
      <c r="C136">
        <v>188366278</v>
      </c>
      <c r="D136">
        <v>343399.98</v>
      </c>
    </row>
    <row r="137" spans="1:4" x14ac:dyDescent="0.25">
      <c r="A137" t="str">
        <f>T("   721049")</f>
        <v xml:space="preserve">   721049</v>
      </c>
      <c r="B137" t="str">
        <f>T("   Produits laminés plats, en fer ou en aciers non alliés, d'une largeur &gt;= 600 mm, laminés à chaud ou à froid, zingués, non ondulés (à l'excl. des produits zingués électrolytiquement)")</f>
        <v xml:space="preserve">   Produits laminés plats, en fer ou en aciers non alliés, d'une largeur &gt;= 600 mm, laminés à chaud ou à froid, zingués, non ondulés (à l'excl. des produits zingués électrolytiquement)</v>
      </c>
      <c r="C137">
        <v>518368179</v>
      </c>
      <c r="D137">
        <v>867630</v>
      </c>
    </row>
    <row r="138" spans="1:4" x14ac:dyDescent="0.25">
      <c r="A138" t="str">
        <f>T("   730711")</f>
        <v xml:space="preserve">   730711</v>
      </c>
      <c r="B138" t="str">
        <f>T("   ACCESSOIRES DE TUYAUTERIE MOULÉS EN FONTE NON-MALLÉABLE")</f>
        <v xml:space="preserve">   ACCESSOIRES DE TUYAUTERIE MOULÉS EN FONTE NON-MALLÉABLE</v>
      </c>
      <c r="C138">
        <v>346799</v>
      </c>
      <c r="D138">
        <v>27</v>
      </c>
    </row>
    <row r="139" spans="1:4" x14ac:dyDescent="0.25">
      <c r="A139" t="str">
        <f>T("   732399")</f>
        <v xml:space="preserve">   732399</v>
      </c>
      <c r="B139" t="s">
        <v>368</v>
      </c>
      <c r="C139">
        <v>7951161</v>
      </c>
      <c r="D139">
        <v>39169</v>
      </c>
    </row>
    <row r="140" spans="1:4" x14ac:dyDescent="0.25">
      <c r="A140" t="str">
        <f>T("   760410")</f>
        <v xml:space="preserve">   760410</v>
      </c>
      <c r="B140" t="str">
        <f>T("   BARRES ET PROFILÉS EN ALUMINIUM NON-ALLIÉ, N.D.A.")</f>
        <v xml:space="preserve">   BARRES ET PROFILÉS EN ALUMINIUM NON-ALLIÉ, N.D.A.</v>
      </c>
      <c r="C140">
        <v>307263</v>
      </c>
      <c r="D140">
        <v>700</v>
      </c>
    </row>
    <row r="141" spans="1:4" x14ac:dyDescent="0.25">
      <c r="A141" t="str">
        <f>T("   760429")</f>
        <v xml:space="preserve">   760429</v>
      </c>
      <c r="B141" t="str">
        <f>T("   Barres et profilés pleins en alliages d'aluminium, n.d.a.")</f>
        <v xml:space="preserve">   Barres et profilés pleins en alliages d'aluminium, n.d.a.</v>
      </c>
      <c r="C141">
        <v>995260</v>
      </c>
      <c r="D141">
        <v>9501</v>
      </c>
    </row>
    <row r="142" spans="1:4" x14ac:dyDescent="0.25">
      <c r="A142" t="str">
        <f>T("   760711")</f>
        <v xml:space="preserve">   760711</v>
      </c>
      <c r="B142" t="str">
        <f>T("   FEUILLES ET BANDES MINCES D'ALUMINIUM, SANS SUPPORT, SIMPL. LAMINÉES, D'UNE ÉPAISSEUR &lt;= 0,2 MM (SAUF FEUILLES POUR LE MARQUAGE AU FER DU N° 3212 ET SAUF FEUILLES TRAVAILLÉES POUR LA DÉCORATION DES SAPINS DE NOËL)")</f>
        <v xml:space="preserve">   FEUILLES ET BANDES MINCES D'ALUMINIUM, SANS SUPPORT, SIMPL. LAMINÉES, D'UNE ÉPAISSEUR &lt;= 0,2 MM (SAUF FEUILLES POUR LE MARQUAGE AU FER DU N° 3212 ET SAUF FEUILLES TRAVAILLÉES POUR LA DÉCORATION DES SAPINS DE NOËL)</v>
      </c>
      <c r="C142">
        <v>794172</v>
      </c>
      <c r="D142">
        <v>800</v>
      </c>
    </row>
    <row r="143" spans="1:4" x14ac:dyDescent="0.25">
      <c r="A143" t="str">
        <f>T("   761010")</f>
        <v xml:space="preserve">   761010</v>
      </c>
      <c r="B143" t="str">
        <f>T("   Portes, fenêtres et leurs cadres, chambranles et seuils, en aluminium (sauf pièces de garnissage)")</f>
        <v xml:space="preserve">   Portes, fenêtres et leurs cadres, chambranles et seuils, en aluminium (sauf pièces de garnissage)</v>
      </c>
      <c r="C143">
        <v>1759574</v>
      </c>
      <c r="D143">
        <v>6353</v>
      </c>
    </row>
    <row r="144" spans="1:4" x14ac:dyDescent="0.25">
      <c r="A144" t="str">
        <f>T("   761519")</f>
        <v xml:space="preserve">   761519</v>
      </c>
      <c r="B144" t="s">
        <v>373</v>
      </c>
      <c r="C144">
        <v>300073</v>
      </c>
      <c r="D144">
        <v>3000</v>
      </c>
    </row>
    <row r="145" spans="1:4" x14ac:dyDescent="0.25">
      <c r="A145" t="str">
        <f>T("   820559")</f>
        <v xml:space="preserve">   820559</v>
      </c>
      <c r="B145" t="str">
        <f>T("   Outils à main, y.c. -les diamants de vitrier-, en métaux communs, n.d.a.")</f>
        <v xml:space="preserve">   Outils à main, y.c. -les diamants de vitrier-, en métaux communs, n.d.a.</v>
      </c>
      <c r="C145">
        <v>195513</v>
      </c>
      <c r="D145">
        <v>1054</v>
      </c>
    </row>
    <row r="146" spans="1:4" x14ac:dyDescent="0.25">
      <c r="A146" t="str">
        <f>T("   821210")</f>
        <v xml:space="preserve">   821210</v>
      </c>
      <c r="B146" t="str">
        <f>T("   Rasoirs et rasoirs de sûreté non-électriques, en métaux communs")</f>
        <v xml:space="preserve">   Rasoirs et rasoirs de sûreté non-électriques, en métaux communs</v>
      </c>
      <c r="C146">
        <v>14329407</v>
      </c>
      <c r="D146">
        <v>1200</v>
      </c>
    </row>
    <row r="147" spans="1:4" x14ac:dyDescent="0.25">
      <c r="A147" t="str">
        <f>T("   830140")</f>
        <v xml:space="preserve">   830140</v>
      </c>
      <c r="B147" t="str">
        <f>T("   Serrures et verrous, en métaux communs (autres que cadenas et serrures des types utilisés pour véhicules automobiles ou meubles)")</f>
        <v xml:space="preserve">   Serrures et verrous, en métaux communs (autres que cadenas et serrures des types utilisés pour véhicules automobiles ou meubles)</v>
      </c>
      <c r="C147">
        <v>20511</v>
      </c>
      <c r="D147">
        <v>71</v>
      </c>
    </row>
    <row r="148" spans="1:4" x14ac:dyDescent="0.25">
      <c r="A148" t="str">
        <f>T("   830220")</f>
        <v xml:space="preserve">   830220</v>
      </c>
      <c r="B148" t="str">
        <f>T("   Roulettes avec monture en métaux communs")</f>
        <v xml:space="preserve">   Roulettes avec monture en métaux communs</v>
      </c>
      <c r="C148">
        <v>220865</v>
      </c>
      <c r="D148">
        <v>1980</v>
      </c>
    </row>
    <row r="149" spans="1:4" x14ac:dyDescent="0.25">
      <c r="A149" t="str">
        <f>T("   830300")</f>
        <v xml:space="preserve">   830300</v>
      </c>
      <c r="B149" t="str">
        <f>T("   Coffres-forts, portes blindées et compartiments pour chambres fortes, coffres et cassettes de sûreté et articles simil., en métaux communs")</f>
        <v xml:space="preserve">   Coffres-forts, portes blindées et compartiments pour chambres fortes, coffres et cassettes de sûreté et articles simil., en métaux communs</v>
      </c>
      <c r="C149">
        <v>1431480</v>
      </c>
      <c r="D149">
        <v>2120</v>
      </c>
    </row>
    <row r="150" spans="1:4" x14ac:dyDescent="0.25">
      <c r="A150" t="str">
        <f>T("   830630")</f>
        <v xml:space="preserve">   830630</v>
      </c>
      <c r="B150" t="str">
        <f>T("   Cadres pour photographies, gravures ou simil., en métaux communs; miroirs, en métaux communs (sauf éléments optiques)")</f>
        <v xml:space="preserve">   Cadres pour photographies, gravures ou simil., en métaux communs; miroirs, en métaux communs (sauf éléments optiques)</v>
      </c>
      <c r="C150">
        <v>400017</v>
      </c>
      <c r="D150">
        <v>6320</v>
      </c>
    </row>
    <row r="151" spans="1:4" x14ac:dyDescent="0.25">
      <c r="A151" t="str">
        <f>T("   840790")</f>
        <v xml:space="preserve">   840790</v>
      </c>
      <c r="B151" t="s">
        <v>391</v>
      </c>
      <c r="C151">
        <v>200283</v>
      </c>
      <c r="D151">
        <v>200</v>
      </c>
    </row>
    <row r="152" spans="1:4" x14ac:dyDescent="0.25">
      <c r="A152" t="str">
        <f>T("   840999")</f>
        <v xml:space="preserve">   840999</v>
      </c>
      <c r="B152"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152">
        <v>2273471</v>
      </c>
      <c r="D152">
        <v>10</v>
      </c>
    </row>
    <row r="153" spans="1:4" x14ac:dyDescent="0.25">
      <c r="A153" t="str">
        <f>T("   841330")</f>
        <v xml:space="preserve">   841330</v>
      </c>
      <c r="B153" t="str">
        <f>T("   Pompes à carburant, à huile ou à liquide de refroidissement pour moteurs à allumage par étincelles ou par compression")</f>
        <v xml:space="preserve">   Pompes à carburant, à huile ou à liquide de refroidissement pour moteurs à allumage par étincelles ou par compression</v>
      </c>
      <c r="C153">
        <v>3419559</v>
      </c>
      <c r="D153">
        <v>84</v>
      </c>
    </row>
    <row r="154" spans="1:4" x14ac:dyDescent="0.25">
      <c r="A154" t="str">
        <f>T("   841391")</f>
        <v xml:space="preserve">   841391</v>
      </c>
      <c r="B154" t="str">
        <f>T("   Parties de pompes pour liquides, n.d.a.")</f>
        <v xml:space="preserve">   Parties de pompes pour liquides, n.d.a.</v>
      </c>
      <c r="C154">
        <v>1128773</v>
      </c>
      <c r="D154">
        <v>1500</v>
      </c>
    </row>
    <row r="155" spans="1:4" x14ac:dyDescent="0.25">
      <c r="A155" t="str">
        <f>T("   841430")</f>
        <v xml:space="preserve">   841430</v>
      </c>
      <c r="B155" t="str">
        <f>T("   Compresseurs des types utilisés pour équipements frigorifiques")</f>
        <v xml:space="preserve">   Compresseurs des types utilisés pour équipements frigorifiques</v>
      </c>
      <c r="C155">
        <v>3986135</v>
      </c>
      <c r="D155">
        <v>270</v>
      </c>
    </row>
    <row r="156" spans="1:4" x14ac:dyDescent="0.25">
      <c r="A156" t="str">
        <f>T("   841451")</f>
        <v xml:space="preserve">   841451</v>
      </c>
      <c r="B156" t="str">
        <f>T("   Ventilateurs de table, de sol, muraux, plafonniers, de toitures ou de fenêtres, à moteur électrique incorporé, d'une puissance &lt;= 125 W")</f>
        <v xml:space="preserve">   Ventilateurs de table, de sol, muraux, plafonniers, de toitures ou de fenêtres, à moteur électrique incorporé, d'une puissance &lt;= 125 W</v>
      </c>
      <c r="C156">
        <v>2483094</v>
      </c>
      <c r="D156">
        <v>4774</v>
      </c>
    </row>
    <row r="157" spans="1:4" x14ac:dyDescent="0.25">
      <c r="A157" t="str">
        <f>T("   841459")</f>
        <v xml:space="preserve">   841459</v>
      </c>
      <c r="B157" t="str">
        <f>T("   Ventilateurs (sauf ventilateurs de table, de sol, muraux, plafonniers, de toitures ou de fenêtres, à moteur électrique incorporé, d'une puissance &lt;= 125 W)")</f>
        <v xml:space="preserve">   Ventilateurs (sauf ventilateurs de table, de sol, muraux, plafonniers, de toitures ou de fenêtres, à moteur électrique incorporé, d'une puissance &lt;= 125 W)</v>
      </c>
      <c r="C157">
        <v>911819</v>
      </c>
      <c r="D157">
        <v>3760</v>
      </c>
    </row>
    <row r="158" spans="1:4" x14ac:dyDescent="0.25">
      <c r="A158" t="str">
        <f>T("   841510")</f>
        <v xml:space="preserve">   841510</v>
      </c>
      <c r="B158" t="s">
        <v>399</v>
      </c>
      <c r="C158">
        <v>23048207</v>
      </c>
      <c r="D158">
        <v>8443</v>
      </c>
    </row>
    <row r="159" spans="1:4" x14ac:dyDescent="0.25">
      <c r="A159" t="str">
        <f>T("   841582")</f>
        <v xml:space="preserve">   841582</v>
      </c>
      <c r="B159" t="s">
        <v>401</v>
      </c>
      <c r="C159">
        <v>1350255</v>
      </c>
      <c r="D159">
        <v>4531</v>
      </c>
    </row>
    <row r="160" spans="1:4" x14ac:dyDescent="0.25">
      <c r="A160" t="str">
        <f>T("   841590")</f>
        <v xml:space="preserve">   841590</v>
      </c>
      <c r="B160" t="str">
        <f>T("   Parties de machines et appareils pour le conditionnement de l'air comprenant un ventilateur à moteur et des dispositifs propres à modifier la température et l'humidité de l'air, n.d.a.")</f>
        <v xml:space="preserve">   Parties de machines et appareils pour le conditionnement de l'air comprenant un ventilateur à moteur et des dispositifs propres à modifier la température et l'humidité de l'air, n.d.a.</v>
      </c>
      <c r="C160">
        <v>193877</v>
      </c>
      <c r="D160">
        <v>14</v>
      </c>
    </row>
    <row r="161" spans="1:4" x14ac:dyDescent="0.25">
      <c r="A161" t="str">
        <f>T("   841810")</f>
        <v xml:space="preserve">   841810</v>
      </c>
      <c r="B161" t="str">
        <f>T("   Réfrigérateurs et congélateurs-conservateurs combinés, avec portes extérieures séparées")</f>
        <v xml:space="preserve">   Réfrigérateurs et congélateurs-conservateurs combinés, avec portes extérieures séparées</v>
      </c>
      <c r="C161">
        <v>782120</v>
      </c>
      <c r="D161">
        <v>1418</v>
      </c>
    </row>
    <row r="162" spans="1:4" x14ac:dyDescent="0.25">
      <c r="A162" t="str">
        <f>T("   841821")</f>
        <v xml:space="preserve">   841821</v>
      </c>
      <c r="B162" t="str">
        <f>T("   Réfrigérateurs ménagers à compression")</f>
        <v xml:space="preserve">   Réfrigérateurs ménagers à compression</v>
      </c>
      <c r="C162">
        <v>8304259</v>
      </c>
      <c r="D162">
        <v>2808</v>
      </c>
    </row>
    <row r="163" spans="1:4" x14ac:dyDescent="0.25">
      <c r="A163" t="str">
        <f>T("   841822")</f>
        <v xml:space="preserve">   841822</v>
      </c>
      <c r="B163" t="str">
        <f>T("   Réfrigérateurs ménagers à absorption, électriques")</f>
        <v xml:space="preserve">   Réfrigérateurs ménagers à absorption, électriques</v>
      </c>
      <c r="C163">
        <v>452986</v>
      </c>
      <c r="D163">
        <v>1750</v>
      </c>
    </row>
    <row r="164" spans="1:4" x14ac:dyDescent="0.25">
      <c r="A164" t="str">
        <f>T("   841829")</f>
        <v xml:space="preserve">   841829</v>
      </c>
      <c r="B164" t="str">
        <f>T("   Réfrigérateurs ménagers à absorption, non-électriques")</f>
        <v xml:space="preserve">   Réfrigérateurs ménagers à absorption, non-électriques</v>
      </c>
      <c r="C164">
        <v>3564813</v>
      </c>
      <c r="D164">
        <v>6300</v>
      </c>
    </row>
    <row r="165" spans="1:4" x14ac:dyDescent="0.25">
      <c r="A165" t="str">
        <f>T("   842389")</f>
        <v xml:space="preserve">   842389</v>
      </c>
      <c r="B165" t="str">
        <f>T("   Appareils et instruments de pesage, portée &gt; 5000 kg")</f>
        <v xml:space="preserve">   Appareils et instruments de pesage, portée &gt; 5000 kg</v>
      </c>
      <c r="C165">
        <v>249263</v>
      </c>
      <c r="D165">
        <v>120</v>
      </c>
    </row>
    <row r="166" spans="1:4" x14ac:dyDescent="0.25">
      <c r="A166" t="str">
        <f>T("   842790")</f>
        <v xml:space="preserve">   842790</v>
      </c>
      <c r="B166" t="str">
        <f>T("   Chariots de manutention munis d'un dispositif de levage mais non autopropulsés")</f>
        <v xml:space="preserve">   Chariots de manutention munis d'un dispositif de levage mais non autopropulsés</v>
      </c>
      <c r="C166">
        <v>1029203</v>
      </c>
      <c r="D166">
        <v>2000</v>
      </c>
    </row>
    <row r="167" spans="1:4" x14ac:dyDescent="0.25">
      <c r="A167" t="str">
        <f>T("   843860")</f>
        <v xml:space="preserve">   843860</v>
      </c>
      <c r="B167" t="s">
        <v>420</v>
      </c>
      <c r="C167">
        <v>16777</v>
      </c>
      <c r="D167">
        <v>45</v>
      </c>
    </row>
    <row r="168" spans="1:4" x14ac:dyDescent="0.25">
      <c r="A168" t="str">
        <f>T("   843880")</f>
        <v xml:space="preserve">   843880</v>
      </c>
      <c r="B168" t="str">
        <f>T("   Machines et appareils pour la préparation ou la fabrication industrielles d'aliments ou de boissons, n.d.a.")</f>
        <v xml:space="preserve">   Machines et appareils pour la préparation ou la fabrication industrielles d'aliments ou de boissons, n.d.a.</v>
      </c>
      <c r="C168">
        <v>76217</v>
      </c>
      <c r="D168">
        <v>15</v>
      </c>
    </row>
    <row r="169" spans="1:4" x14ac:dyDescent="0.25">
      <c r="A169" t="str">
        <f>T("   844359")</f>
        <v xml:space="preserve">   844359</v>
      </c>
      <c r="B169" t="s">
        <v>424</v>
      </c>
      <c r="C169">
        <v>5736370</v>
      </c>
      <c r="D169">
        <v>8600</v>
      </c>
    </row>
    <row r="170" spans="1:4" x14ac:dyDescent="0.25">
      <c r="A170" t="str">
        <f>T("   845012")</f>
        <v xml:space="preserve">   845012</v>
      </c>
      <c r="B170" t="str">
        <f>T("   Machines à laver le linge, avec essoreuse centrifuge incorporée (à l'excl. des machines entièrement automatiques)")</f>
        <v xml:space="preserve">   Machines à laver le linge, avec essoreuse centrifuge incorporée (à l'excl. des machines entièrement automatiques)</v>
      </c>
      <c r="C170">
        <v>2335077</v>
      </c>
      <c r="D170">
        <v>386.5</v>
      </c>
    </row>
    <row r="171" spans="1:4" x14ac:dyDescent="0.25">
      <c r="A171" t="str">
        <f>T("   846920")</f>
        <v xml:space="preserve">   846920</v>
      </c>
      <c r="B171" t="str">
        <f>T("   Machines à écrire électriques (à l'excl. des machines à écrire automatiques, des unités pour machines automatiques de traitement de l'information du n° 8471, ainsi que des imprimantes au laser, thermiques ou électrosensibles)")</f>
        <v xml:space="preserve">   Machines à écrire électriques (à l'excl. des machines à écrire automatiques, des unités pour machines automatiques de traitement de l'information du n° 8471, ainsi que des imprimantes au laser, thermiques ou électrosensibles)</v>
      </c>
      <c r="C171">
        <v>196788</v>
      </c>
      <c r="D171">
        <v>250</v>
      </c>
    </row>
    <row r="172" spans="1:4" x14ac:dyDescent="0.25">
      <c r="A172" t="str">
        <f>T("   847010")</f>
        <v xml:space="preserve">   847010</v>
      </c>
      <c r="B172" t="s">
        <v>435</v>
      </c>
      <c r="C172">
        <v>1837751</v>
      </c>
      <c r="D172">
        <v>246</v>
      </c>
    </row>
    <row r="173" spans="1:4" x14ac:dyDescent="0.25">
      <c r="A173" t="str">
        <f>T("   847130")</f>
        <v xml:space="preserve">   847130</v>
      </c>
      <c r="B173" t="str">
        <f>T("   Machines automatiques de traitement de l'information numériques, portatives, d'un poids &lt;= 10 kg, comportant au moins une unité centrale de traitement, un clavier et un écran (à l'excl. des unités périphériques)")</f>
        <v xml:space="preserve">   Machines automatiques de traitement de l'information numériques, portatives, d'un poids &lt;= 10 kg, comportant au moins une unité centrale de traitement, un clavier et un écran (à l'excl. des unités périphériques)</v>
      </c>
      <c r="C173">
        <v>7650426</v>
      </c>
      <c r="D173">
        <v>108</v>
      </c>
    </row>
    <row r="174" spans="1:4" x14ac:dyDescent="0.25">
      <c r="A174" t="str">
        <f>T("   847141")</f>
        <v xml:space="preserve">   847141</v>
      </c>
      <c r="B174" t="s">
        <v>436</v>
      </c>
      <c r="C174">
        <v>47652673</v>
      </c>
      <c r="D174">
        <v>12100</v>
      </c>
    </row>
    <row r="175" spans="1:4" x14ac:dyDescent="0.25">
      <c r="A175" t="str">
        <f>T("   847180")</f>
        <v xml:space="preserve">   847180</v>
      </c>
      <c r="B175"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175">
        <v>147754</v>
      </c>
      <c r="D175">
        <v>6</v>
      </c>
    </row>
    <row r="176" spans="1:4" x14ac:dyDescent="0.25">
      <c r="A176" t="str">
        <f>T("   847190")</f>
        <v xml:space="preserve">   847190</v>
      </c>
      <c r="B176"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176">
        <v>7489718</v>
      </c>
      <c r="D176">
        <v>7115</v>
      </c>
    </row>
    <row r="177" spans="1:4" x14ac:dyDescent="0.25">
      <c r="A177" t="str">
        <f>T("   847330")</f>
        <v xml:space="preserve">   847330</v>
      </c>
      <c r="B177" t="str">
        <f>T("   Parties et accessoires pour machines automatiques de traitement de l'information ou pour autres machines du n° 8471, n.d.a.")</f>
        <v xml:space="preserve">   Parties et accessoires pour machines automatiques de traitement de l'information ou pour autres machines du n° 8471, n.d.a.</v>
      </c>
      <c r="C177">
        <v>3181950</v>
      </c>
      <c r="D177">
        <v>4020</v>
      </c>
    </row>
    <row r="178" spans="1:4" x14ac:dyDescent="0.25">
      <c r="A178" t="str">
        <f>T("   848180")</f>
        <v xml:space="preserve">   848180</v>
      </c>
      <c r="B178"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178">
        <v>6122263</v>
      </c>
      <c r="D178">
        <v>6119</v>
      </c>
    </row>
    <row r="179" spans="1:4" x14ac:dyDescent="0.25">
      <c r="A179" t="str">
        <f>T("   848490")</f>
        <v xml:space="preserve">   848490</v>
      </c>
      <c r="B179" t="str">
        <f>T("   Jeux ou assortiments de joints de composition différente présentés en pochettes, enveloppes ou emballages analogues")</f>
        <v xml:space="preserve">   Jeux ou assortiments de joints de composition différente présentés en pochettes, enveloppes ou emballages analogues</v>
      </c>
      <c r="C179">
        <v>551561</v>
      </c>
      <c r="D179">
        <v>43</v>
      </c>
    </row>
    <row r="180" spans="1:4" x14ac:dyDescent="0.25">
      <c r="A180" t="str">
        <f>T("   850152")</f>
        <v xml:space="preserve">   850152</v>
      </c>
      <c r="B180" t="str">
        <f>T("   Moteurs à courant alternatif, polyphasés, puissance &gt; 750 W mais &lt;= 75 kW")</f>
        <v xml:space="preserve">   Moteurs à courant alternatif, polyphasés, puissance &gt; 750 W mais &lt;= 75 kW</v>
      </c>
      <c r="C180">
        <v>200368</v>
      </c>
      <c r="D180">
        <v>940</v>
      </c>
    </row>
    <row r="181" spans="1:4" x14ac:dyDescent="0.25">
      <c r="A181" t="str">
        <f>T("   850161")</f>
        <v xml:space="preserve">   850161</v>
      </c>
      <c r="B181" t="str">
        <f>T("   Alternateurs, puissance &lt;= 75 kVA")</f>
        <v xml:space="preserve">   Alternateurs, puissance &lt;= 75 kVA</v>
      </c>
      <c r="C181">
        <v>751075</v>
      </c>
      <c r="D181">
        <v>9000</v>
      </c>
    </row>
    <row r="182" spans="1:4" x14ac:dyDescent="0.25">
      <c r="A182" t="str">
        <f>T("   850211")</f>
        <v xml:space="preserve">   850211</v>
      </c>
      <c r="B182" t="s">
        <v>449</v>
      </c>
      <c r="C182">
        <v>17206306</v>
      </c>
      <c r="D182">
        <v>10600</v>
      </c>
    </row>
    <row r="183" spans="1:4" x14ac:dyDescent="0.25">
      <c r="A183" t="str">
        <f>T("   850212")</f>
        <v xml:space="preserve">   850212</v>
      </c>
      <c r="B183"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183">
        <v>2579872</v>
      </c>
      <c r="D183">
        <v>2000</v>
      </c>
    </row>
    <row r="184" spans="1:4" x14ac:dyDescent="0.25">
      <c r="A184" t="str">
        <f>T("   850213")</f>
        <v xml:space="preserve">   850213</v>
      </c>
      <c r="B184" t="s">
        <v>450</v>
      </c>
      <c r="C184">
        <v>383873784</v>
      </c>
      <c r="D184">
        <v>232800</v>
      </c>
    </row>
    <row r="185" spans="1:4" x14ac:dyDescent="0.25">
      <c r="A185" t="str">
        <f>T("   850220")</f>
        <v xml:space="preserve">   850220</v>
      </c>
      <c r="B185" t="s">
        <v>451</v>
      </c>
      <c r="C185">
        <v>3185808</v>
      </c>
      <c r="D185">
        <v>5700</v>
      </c>
    </row>
    <row r="186" spans="1:4" x14ac:dyDescent="0.25">
      <c r="A186" t="str">
        <f>T("   850239")</f>
        <v xml:space="preserve">   850239</v>
      </c>
      <c r="B186" t="str">
        <f>T("   Groupes électrogènes (autres qu'à énergie éolienne et à moteurs à piston)")</f>
        <v xml:space="preserve">   Groupes électrogènes (autres qu'à énergie éolienne et à moteurs à piston)</v>
      </c>
      <c r="C186">
        <v>4100000</v>
      </c>
      <c r="D186">
        <v>9993</v>
      </c>
    </row>
    <row r="187" spans="1:4" x14ac:dyDescent="0.25">
      <c r="A187" t="str">
        <f>T("   850300")</f>
        <v xml:space="preserve">   850300</v>
      </c>
      <c r="B187" t="str">
        <f>T("   Parties reconnaissables comme étant exclusivement ou principalement destinées aux moteurs et machines génératrices électriques, groupes électrogènes ou convertisseurs rotatifs électriques n.d.a.")</f>
        <v xml:space="preserve">   Parties reconnaissables comme étant exclusivement ou principalement destinées aux moteurs et machines génératrices électriques, groupes électrogènes ou convertisseurs rotatifs électriques n.d.a.</v>
      </c>
      <c r="C187">
        <v>44133380</v>
      </c>
      <c r="D187">
        <v>20556</v>
      </c>
    </row>
    <row r="188" spans="1:4" x14ac:dyDescent="0.25">
      <c r="A188" t="str">
        <f>T("   850422")</f>
        <v xml:space="preserve">   850422</v>
      </c>
      <c r="B188" t="str">
        <f>T("   Transformateurs à diélectrique liquide, puissance &gt; 650 kVA mais &lt;= 10.000 kVA")</f>
        <v xml:space="preserve">   Transformateurs à diélectrique liquide, puissance &gt; 650 kVA mais &lt;= 10.000 kVA</v>
      </c>
      <c r="C188">
        <v>95968446</v>
      </c>
      <c r="D188">
        <v>58200</v>
      </c>
    </row>
    <row r="189" spans="1:4" x14ac:dyDescent="0.25">
      <c r="A189" t="str">
        <f>T("   850440")</f>
        <v xml:space="preserve">   850440</v>
      </c>
      <c r="B189" t="str">
        <f>T("   CONVERTISSEURS STATIQUES")</f>
        <v xml:space="preserve">   CONVERTISSEURS STATIQUES</v>
      </c>
      <c r="C189">
        <v>474915</v>
      </c>
      <c r="D189">
        <v>3000</v>
      </c>
    </row>
    <row r="190" spans="1:4" x14ac:dyDescent="0.25">
      <c r="A190" t="str">
        <f>T("   850680")</f>
        <v xml:space="preserve">   850680</v>
      </c>
      <c r="B190" t="str">
        <f>T("   Piles et batteries de piles électriques (sauf hors d'usage et autres que piles et batteries à l'oxyde d'argent, de mercure, au bioxyde de manganèse, au lithium et à l'air-zinc)")</f>
        <v xml:space="preserve">   Piles et batteries de piles électriques (sauf hors d'usage et autres que piles et batteries à l'oxyde d'argent, de mercure, au bioxyde de manganèse, au lithium et à l'air-zinc)</v>
      </c>
      <c r="C190">
        <v>2955404</v>
      </c>
      <c r="D190">
        <v>230</v>
      </c>
    </row>
    <row r="191" spans="1:4" x14ac:dyDescent="0.25">
      <c r="A191" t="str">
        <f>T("   850710")</f>
        <v xml:space="preserve">   850710</v>
      </c>
      <c r="B191" t="str">
        <f>T("   Accumulateurs au plomb, pour le démarrage des moteurs à piston (sauf hors d'usage)")</f>
        <v xml:space="preserve">   Accumulateurs au plomb, pour le démarrage des moteurs à piston (sauf hors d'usage)</v>
      </c>
      <c r="C191">
        <v>85577</v>
      </c>
      <c r="D191">
        <v>300</v>
      </c>
    </row>
    <row r="192" spans="1:4" x14ac:dyDescent="0.25">
      <c r="A192" t="str">
        <f>T("   851110")</f>
        <v xml:space="preserve">   851110</v>
      </c>
      <c r="B192" t="str">
        <f>T("   Bougies d'allumage pour moteurs à allumage par étincelles ou par compression")</f>
        <v xml:space="preserve">   Bougies d'allumage pour moteurs à allumage par étincelles ou par compression</v>
      </c>
      <c r="C192">
        <v>7456297</v>
      </c>
      <c r="D192">
        <v>88</v>
      </c>
    </row>
    <row r="193" spans="1:4" x14ac:dyDescent="0.25">
      <c r="A193" t="str">
        <f>T("   851130")</f>
        <v xml:space="preserve">   851130</v>
      </c>
      <c r="B193" t="str">
        <f>T("   Distributeurs et bobines d'allumage, pour moteurs à allumage par étincelles ou par compression")</f>
        <v xml:space="preserve">   Distributeurs et bobines d'allumage, pour moteurs à allumage par étincelles ou par compression</v>
      </c>
      <c r="C193">
        <v>41545</v>
      </c>
      <c r="D193">
        <v>8</v>
      </c>
    </row>
    <row r="194" spans="1:4" x14ac:dyDescent="0.25">
      <c r="A194" t="str">
        <f>T("   851190")</f>
        <v xml:space="preserve">   851190</v>
      </c>
      <c r="B194" t="str">
        <f>T("   Parties des appareils et dispositifs électriques d'allumage et de démarrage, génératrices etc. du n° 8511, n.d.a.")</f>
        <v xml:space="preserve">   Parties des appareils et dispositifs électriques d'allumage et de démarrage, génératrices etc. du n° 8511, n.d.a.</v>
      </c>
      <c r="C194">
        <v>1710626</v>
      </c>
      <c r="D194">
        <v>84</v>
      </c>
    </row>
    <row r="195" spans="1:4" x14ac:dyDescent="0.25">
      <c r="A195" t="str">
        <f>T("   851610")</f>
        <v xml:space="preserve">   851610</v>
      </c>
      <c r="B195" t="str">
        <f>T("   Chauffe-eau et thermoplongeurs électriques")</f>
        <v xml:space="preserve">   Chauffe-eau et thermoplongeurs électriques</v>
      </c>
      <c r="C195">
        <v>179785</v>
      </c>
      <c r="D195">
        <v>500</v>
      </c>
    </row>
    <row r="196" spans="1:4" x14ac:dyDescent="0.25">
      <c r="A196" t="str">
        <f>T("   851640")</f>
        <v xml:space="preserve">   851640</v>
      </c>
      <c r="B196" t="str">
        <f>T("   Fers à repasser électriques")</f>
        <v xml:space="preserve">   Fers à repasser électriques</v>
      </c>
      <c r="C196">
        <v>59439</v>
      </c>
      <c r="D196">
        <v>20</v>
      </c>
    </row>
    <row r="197" spans="1:4" x14ac:dyDescent="0.25">
      <c r="A197" t="str">
        <f>T("   851660")</f>
        <v xml:space="preserve">   851660</v>
      </c>
      <c r="B197" t="str">
        <f>T("   Fours, cuisinières, réchauds, tables de cuisson, grils et rôtissoires électriques, pour usages domestiques (sauf fours destinés au chauffage des locaux et fours à micro-ondes)")</f>
        <v xml:space="preserve">   Fours, cuisinières, réchauds, tables de cuisson, grils et rôtissoires électriques, pour usages domestiques (sauf fours destinés au chauffage des locaux et fours à micro-ondes)</v>
      </c>
      <c r="C197">
        <v>187555</v>
      </c>
      <c r="D197">
        <v>371</v>
      </c>
    </row>
    <row r="198" spans="1:4" x14ac:dyDescent="0.25">
      <c r="A198" t="str">
        <f>T("   851671")</f>
        <v xml:space="preserve">   851671</v>
      </c>
      <c r="B198" t="str">
        <f>T("   Appareils électriques pour la préparation du café ou du thé, pour usages domestiques")</f>
        <v xml:space="preserve">   Appareils électriques pour la préparation du café ou du thé, pour usages domestiques</v>
      </c>
      <c r="C198">
        <v>451300</v>
      </c>
      <c r="D198">
        <v>225</v>
      </c>
    </row>
    <row r="199" spans="1:4" x14ac:dyDescent="0.25">
      <c r="A199" t="str">
        <f>T("   851780")</f>
        <v xml:space="preserve">   851780</v>
      </c>
      <c r="B199" t="s">
        <v>458</v>
      </c>
      <c r="C199">
        <v>819248</v>
      </c>
      <c r="D199">
        <v>445</v>
      </c>
    </row>
    <row r="200" spans="1:4" x14ac:dyDescent="0.25">
      <c r="A200" t="str">
        <f>T("   851829")</f>
        <v xml:space="preserve">   851829</v>
      </c>
      <c r="B200" t="str">
        <f>T("   Haut-parleurs sans enceinte")</f>
        <v xml:space="preserve">   Haut-parleurs sans enceinte</v>
      </c>
      <c r="C200">
        <v>336000</v>
      </c>
      <c r="D200">
        <v>4040</v>
      </c>
    </row>
    <row r="201" spans="1:4" x14ac:dyDescent="0.25">
      <c r="A201" t="str">
        <f>T("   851850")</f>
        <v xml:space="preserve">   851850</v>
      </c>
      <c r="B201" t="str">
        <f>T("   Appareils électriques d'amplification du son")</f>
        <v xml:space="preserve">   Appareils électriques d'amplification du son</v>
      </c>
      <c r="C201">
        <v>1009991</v>
      </c>
      <c r="D201">
        <v>600</v>
      </c>
    </row>
    <row r="202" spans="1:4" x14ac:dyDescent="0.25">
      <c r="A202" t="str">
        <f>T("   852090")</f>
        <v xml:space="preserve">   852090</v>
      </c>
      <c r="B202" t="str">
        <f>T("   Appareils d'enregistrement du son, incorporant également un dispositif de reproduction du son (autres qu'appareils d'enregistrement et de reproduction du son utilisant des bandes magnétiques sur bobines)")</f>
        <v xml:space="preserve">   Appareils d'enregistrement du son, incorporant également un dispositif de reproduction du son (autres qu'appareils d'enregistrement et de reproduction du son utilisant des bandes magnétiques sur bobines)</v>
      </c>
      <c r="C202">
        <v>308301</v>
      </c>
      <c r="D202">
        <v>3700</v>
      </c>
    </row>
    <row r="203" spans="1:4" x14ac:dyDescent="0.25">
      <c r="A203" t="str">
        <f>T("   852190")</f>
        <v xml:space="preserve">   852190</v>
      </c>
      <c r="B203" t="s">
        <v>462</v>
      </c>
      <c r="C203">
        <v>790928</v>
      </c>
      <c r="D203">
        <v>76</v>
      </c>
    </row>
    <row r="204" spans="1:4" x14ac:dyDescent="0.25">
      <c r="A204" t="str">
        <f>T("   852540")</f>
        <v xml:space="preserve">   852540</v>
      </c>
      <c r="B204" t="str">
        <f>T("   Appareils de prise de vues fixes vidéo et autres caméscopes; appareils photographiques numériques")</f>
        <v xml:space="preserve">   Appareils de prise de vues fixes vidéo et autres caméscopes; appareils photographiques numériques</v>
      </c>
      <c r="C204">
        <v>824482</v>
      </c>
      <c r="D204">
        <v>7</v>
      </c>
    </row>
    <row r="205" spans="1:4" x14ac:dyDescent="0.25">
      <c r="A205" t="str">
        <f>T("   852713")</f>
        <v xml:space="preserve">   852713</v>
      </c>
      <c r="B205" t="str">
        <f>T("   RÉCEPTEURS DE RADIODIFFUSION POUVANT FONCTIONNER SANS SOURCE D'ÉNERGIE EXTÉRIEURE, COMBINÉS À UN APPAREIL D'ENREGISTREMENT OU DE REPRODUCTION DU SON (À L'EXCL. DES RADIOCASSETTES DE POCHE)")</f>
        <v xml:space="preserve">   RÉCEPTEURS DE RADIODIFFUSION POUVANT FONCTIONNER SANS SOURCE D'ÉNERGIE EXTÉRIEURE, COMBINÉS À UN APPAREIL D'ENREGISTREMENT OU DE REPRODUCTION DU SON (À L'EXCL. DES RADIOCASSETTES DE POCHE)</v>
      </c>
      <c r="C205">
        <v>168732</v>
      </c>
      <c r="D205">
        <v>400</v>
      </c>
    </row>
    <row r="206" spans="1:4" x14ac:dyDescent="0.25">
      <c r="A206" t="str">
        <f>T("   852731")</f>
        <v xml:space="preserve">   852731</v>
      </c>
      <c r="B206" t="s">
        <v>467</v>
      </c>
      <c r="C206">
        <v>2773419</v>
      </c>
      <c r="D206">
        <v>4236</v>
      </c>
    </row>
    <row r="207" spans="1:4" x14ac:dyDescent="0.25">
      <c r="A207" t="str">
        <f>T("   852812")</f>
        <v xml:space="preserve">   852812</v>
      </c>
      <c r="B207"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207">
        <v>16250817</v>
      </c>
      <c r="D207">
        <v>12812.5</v>
      </c>
    </row>
    <row r="208" spans="1:4" x14ac:dyDescent="0.25">
      <c r="A208" t="str">
        <f>T("   853329")</f>
        <v xml:space="preserve">   853329</v>
      </c>
      <c r="B208" t="str">
        <f>T("   Résistances électriques fixes, pour une puissance &gt; 20 W (non chauffantes)")</f>
        <v xml:space="preserve">   Résistances électriques fixes, pour une puissance &gt; 20 W (non chauffantes)</v>
      </c>
      <c r="C208">
        <v>236151</v>
      </c>
      <c r="D208">
        <v>15</v>
      </c>
    </row>
    <row r="209" spans="1:4" x14ac:dyDescent="0.25">
      <c r="A209" t="str">
        <f>T("   853650")</f>
        <v xml:space="preserve">   853650</v>
      </c>
      <c r="B209" t="str">
        <f>T("   Interrupteurs, sectionneurs et commutateurs, pour une tension &lt;= 1.000 V (autres que relais et disjoncteurs)")</f>
        <v xml:space="preserve">   Interrupteurs, sectionneurs et commutateurs, pour une tension &lt;= 1.000 V (autres que relais et disjoncteurs)</v>
      </c>
      <c r="C209">
        <v>517481</v>
      </c>
      <c r="D209">
        <v>127</v>
      </c>
    </row>
    <row r="210" spans="1:4" x14ac:dyDescent="0.25">
      <c r="A210" t="str">
        <f>T("   853669")</f>
        <v xml:space="preserve">   853669</v>
      </c>
      <c r="B210" t="str">
        <f>T("   Fiches et prises de courant, pour une tension &lt;= 1.000 V (sauf douilles pour lampes)")</f>
        <v xml:space="preserve">   Fiches et prises de courant, pour une tension &lt;= 1.000 V (sauf douilles pour lampes)</v>
      </c>
      <c r="C210">
        <v>350405</v>
      </c>
      <c r="D210">
        <v>1300</v>
      </c>
    </row>
    <row r="211" spans="1:4" x14ac:dyDescent="0.25">
      <c r="A211" t="str">
        <f>T("   853690")</f>
        <v xml:space="preserve">   853690</v>
      </c>
      <c r="B211" t="s">
        <v>474</v>
      </c>
      <c r="C211">
        <v>7765000</v>
      </c>
      <c r="D211">
        <v>64360</v>
      </c>
    </row>
    <row r="212" spans="1:4" x14ac:dyDescent="0.25">
      <c r="A212" t="str">
        <f>T("   853890")</f>
        <v xml:space="preserve">   853890</v>
      </c>
      <c r="B212" t="s">
        <v>475</v>
      </c>
      <c r="C212">
        <v>65864</v>
      </c>
      <c r="D212">
        <v>5</v>
      </c>
    </row>
    <row r="213" spans="1:4" x14ac:dyDescent="0.25">
      <c r="A213" t="str">
        <f>T("   853929")</f>
        <v xml:space="preserve">   853929</v>
      </c>
      <c r="B213" t="str">
        <f>T("   Lampes et tubes à incandescence électriques (autres que lampes et tubes halogènes, au tungstène, lampes d'une puissance &lt;= 200 W et pour une tension &gt; 100 V, et lampes à rayons ultraviolets ou infrarouges)")</f>
        <v xml:space="preserve">   Lampes et tubes à incandescence électriques (autres que lampes et tubes halogènes, au tungstène, lampes d'une puissance &lt;= 200 W et pour une tension &gt; 100 V, et lampes à rayons ultraviolets ou infrarouges)</v>
      </c>
      <c r="C213">
        <v>72812</v>
      </c>
      <c r="D213">
        <v>84</v>
      </c>
    </row>
    <row r="214" spans="1:4" x14ac:dyDescent="0.25">
      <c r="A214" t="str">
        <f>T("   854210")</f>
        <v xml:space="preserve">   854210</v>
      </c>
      <c r="B214" t="str">
        <f>T("   Cartes munies d'un circuit intégré électronique [cartes intelligentes], munies ou non d'une piste magnétique")</f>
        <v xml:space="preserve">   Cartes munies d'un circuit intégré électronique [cartes intelligentes], munies ou non d'une piste magnétique</v>
      </c>
      <c r="C214">
        <v>454081</v>
      </c>
      <c r="D214">
        <v>30</v>
      </c>
    </row>
    <row r="215" spans="1:4" x14ac:dyDescent="0.25">
      <c r="A215" t="str">
        <f>T("   854420")</f>
        <v xml:space="preserve">   854420</v>
      </c>
      <c r="B215" t="str">
        <f>T("   Câbles coaxiaux et autres conducteurs électriques coaxiaux, isolés")</f>
        <v xml:space="preserve">   Câbles coaxiaux et autres conducteurs électriques coaxiaux, isolés</v>
      </c>
      <c r="C215">
        <v>1208278</v>
      </c>
      <c r="D215">
        <v>1518</v>
      </c>
    </row>
    <row r="216" spans="1:4" x14ac:dyDescent="0.25">
      <c r="A216" t="str">
        <f>T("   854890")</f>
        <v xml:space="preserve">   854890</v>
      </c>
      <c r="B216" t="str">
        <f>T("   PARTIES ÉLECTRIQUES DE MACHINES OU D'APPAREILS, N.D.A. DANS LE CHAPITRE 85")</f>
        <v xml:space="preserve">   PARTIES ÉLECTRIQUES DE MACHINES OU D'APPAREILS, N.D.A. DANS LE CHAPITRE 85</v>
      </c>
      <c r="C216">
        <v>3372547</v>
      </c>
      <c r="D216">
        <v>262</v>
      </c>
    </row>
    <row r="217" spans="1:4" x14ac:dyDescent="0.25">
      <c r="A217" t="str">
        <f>T("   870290")</f>
        <v xml:space="preserve">   870290</v>
      </c>
      <c r="B217" t="s">
        <v>478</v>
      </c>
      <c r="C217">
        <v>17400560</v>
      </c>
      <c r="D217">
        <v>4704</v>
      </c>
    </row>
    <row r="218" spans="1:4" x14ac:dyDescent="0.25">
      <c r="A218" t="str">
        <f>T("   870322")</f>
        <v xml:space="preserve">   870322</v>
      </c>
      <c r="B218" t="s">
        <v>480</v>
      </c>
      <c r="C218">
        <v>61535683</v>
      </c>
      <c r="D218">
        <v>15060</v>
      </c>
    </row>
    <row r="219" spans="1:4" x14ac:dyDescent="0.25">
      <c r="A219" t="str">
        <f>T("   870323")</f>
        <v xml:space="preserve">   870323</v>
      </c>
      <c r="B219" t="s">
        <v>481</v>
      </c>
      <c r="C219">
        <v>89059337</v>
      </c>
      <c r="D219">
        <v>12300</v>
      </c>
    </row>
    <row r="220" spans="1:4" x14ac:dyDescent="0.25">
      <c r="A220" t="str">
        <f>T("   870324")</f>
        <v xml:space="preserve">   870324</v>
      </c>
      <c r="B220" t="s">
        <v>482</v>
      </c>
      <c r="C220">
        <v>10066350</v>
      </c>
      <c r="D220">
        <v>2560</v>
      </c>
    </row>
    <row r="221" spans="1:4" x14ac:dyDescent="0.25">
      <c r="A221" t="str">
        <f>T("   870421")</f>
        <v xml:space="preserve">   870421</v>
      </c>
      <c r="B221" t="s">
        <v>486</v>
      </c>
      <c r="C221">
        <v>44748955</v>
      </c>
      <c r="D221">
        <v>12667</v>
      </c>
    </row>
    <row r="222" spans="1:4" x14ac:dyDescent="0.25">
      <c r="A222" t="str">
        <f>T("   870423")</f>
        <v xml:space="preserve">   870423</v>
      </c>
      <c r="B222" t="s">
        <v>488</v>
      </c>
      <c r="C222">
        <v>63604751</v>
      </c>
      <c r="D222">
        <v>15000</v>
      </c>
    </row>
    <row r="223" spans="1:4" x14ac:dyDescent="0.25">
      <c r="A223" t="str">
        <f>T("   870431")</f>
        <v xml:space="preserve">   870431</v>
      </c>
      <c r="B223" t="s">
        <v>489</v>
      </c>
      <c r="C223">
        <v>52308478</v>
      </c>
      <c r="D223">
        <v>28860</v>
      </c>
    </row>
    <row r="224" spans="1:4" x14ac:dyDescent="0.25">
      <c r="A224" t="str">
        <f>T("   870490")</f>
        <v xml:space="preserve">   870490</v>
      </c>
      <c r="B224" t="str">
        <f>T("   Véhicules automobiles pour le transport de marchandises à moteur autre qu'à piston à allumage par étincelles ou moteur diesel ou semi-diesel (sauf tombereaux automoteurs du n° 8704.10, véhicules automobiles à usages spéciaux du n° 8705)")</f>
        <v xml:space="preserve">   Véhicules automobiles pour le transport de marchandises à moteur autre qu'à piston à allumage par étincelles ou moteur diesel ou semi-diesel (sauf tombereaux automoteurs du n° 8704.10, véhicules automobiles à usages spéciaux du n° 8705)</v>
      </c>
      <c r="C224">
        <v>3756038</v>
      </c>
      <c r="D224">
        <v>1666</v>
      </c>
    </row>
    <row r="225" spans="1:4" x14ac:dyDescent="0.25">
      <c r="A225" t="str">
        <f>T("   870839")</f>
        <v xml:space="preserve">   870839</v>
      </c>
      <c r="B225" t="str">
        <f>T("   FREINS ET SERVO-FREINS, ET LEURS PARTIES, POUR DE TRACTEURS, VÉHICULES POUR LE TRANSPORT DE &gt;= 10 PERSONNES, CHAUFFEUR INCLUS, VOITURES DE TOURISME, VÉHICULES POUR LE TRANSPORT DE MARCHANDISES ET VÉHICULES À USAGES SPÉCIAUX, N.D.A.")</f>
        <v xml:space="preserve">   FREINS ET SERVO-FREINS, ET LEURS PARTIES, POUR DE TRACTEURS, VÉHICULES POUR LE TRANSPORT DE &gt;= 10 PERSONNES, CHAUFFEUR INCLUS, VOITURES DE TOURISME, VÉHICULES POUR LE TRANSPORT DE MARCHANDISES ET VÉHICULES À USAGES SPÉCIAUX, N.D.A.</v>
      </c>
      <c r="C225">
        <v>222370</v>
      </c>
      <c r="D225">
        <v>84</v>
      </c>
    </row>
    <row r="226" spans="1:4" x14ac:dyDescent="0.25">
      <c r="A226" t="str">
        <f>T("   870899")</f>
        <v xml:space="preserve">   870899</v>
      </c>
      <c r="B226"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226">
        <v>2643869</v>
      </c>
      <c r="D226">
        <v>3440</v>
      </c>
    </row>
    <row r="227" spans="1:4" x14ac:dyDescent="0.25">
      <c r="A227" t="str">
        <f>T("   870919")</f>
        <v xml:space="preserve">   870919</v>
      </c>
      <c r="B227" t="str">
        <f>T("   CHARIOTS AUTOMOBILES NON-ÉLECTRIQUES, NON-MUNIS D'UN DISPOSITIF DE LEVAGE, DES TYPES UTILISÉS POUR LE TRANSPORT DES MARCHANDISES SUR DE COURTES DISTANCES, Y.C. LES CHARIOTS-TRACTEURS DES TYPES UTILISÉS DANS LES GARES")</f>
        <v xml:space="preserve">   CHARIOTS AUTOMOBILES NON-ÉLECTRIQUES, NON-MUNIS D'UN DISPOSITIF DE LEVAGE, DES TYPES UTILISÉS POUR LE TRANSPORT DES MARCHANDISES SUR DE COURTES DISTANCES, Y.C. LES CHARIOTS-TRACTEURS DES TYPES UTILISÉS DANS LES GARES</v>
      </c>
      <c r="C227">
        <v>69506</v>
      </c>
      <c r="D227">
        <v>45</v>
      </c>
    </row>
    <row r="228" spans="1:4" x14ac:dyDescent="0.25">
      <c r="A228" t="str">
        <f>T("   871140")</f>
        <v xml:space="preserve">   871140</v>
      </c>
      <c r="B228" t="str">
        <f>T("   Motocycles à moteur à piston alternatif, cylindrée &gt; 500 cm³ mais &lt;= 800 cm³")</f>
        <v xml:space="preserve">   Motocycles à moteur à piston alternatif, cylindrée &gt; 500 cm³ mais &lt;= 800 cm³</v>
      </c>
      <c r="C228">
        <v>100004</v>
      </c>
      <c r="D228">
        <v>650</v>
      </c>
    </row>
    <row r="229" spans="1:4" x14ac:dyDescent="0.25">
      <c r="A229" t="str">
        <f>T("   871200")</f>
        <v xml:space="preserve">   871200</v>
      </c>
      <c r="B229" t="str">
        <f>T("   BICYCLETTES ET AUTRES CYCLES, -Y.C. LES TRIPORTEURS-, SANS MOTEUR")</f>
        <v xml:space="preserve">   BICYCLETTES ET AUTRES CYCLES, -Y.C. LES TRIPORTEURS-, SANS MOTEUR</v>
      </c>
      <c r="C229">
        <v>100362</v>
      </c>
      <c r="D229">
        <v>120</v>
      </c>
    </row>
    <row r="230" spans="1:4" x14ac:dyDescent="0.25">
      <c r="A230" t="str">
        <f>T("   871639")</f>
        <v xml:space="preserve">   871639</v>
      </c>
      <c r="B230" t="str">
        <f>T("   Remorques ne circulant pas sur rails, pour le transport des marchandises (sauf remorques destinées à des usages agricoles, remorques autochargeuses ou autodéchargeuses et remorques-citernes)")</f>
        <v xml:space="preserve">   Remorques ne circulant pas sur rails, pour le transport des marchandises (sauf remorques destinées à des usages agricoles, remorques autochargeuses ou autodéchargeuses et remorques-citernes)</v>
      </c>
      <c r="C230">
        <v>70103328</v>
      </c>
      <c r="D230">
        <v>88000</v>
      </c>
    </row>
    <row r="231" spans="1:4" x14ac:dyDescent="0.25">
      <c r="A231" t="str">
        <f>T("   900911")</f>
        <v xml:space="preserve">   900911</v>
      </c>
      <c r="B231" t="str">
        <f>T("   Appareils de photocopie électrostatiques, fonctionnant par reproduction directe de l'image de l'original sur la copie [procédé direct]")</f>
        <v xml:space="preserve">   Appareils de photocopie électrostatiques, fonctionnant par reproduction directe de l'image de l'original sur la copie [procédé direct]</v>
      </c>
      <c r="C231">
        <v>925349</v>
      </c>
      <c r="D231">
        <v>258.3</v>
      </c>
    </row>
    <row r="232" spans="1:4" x14ac:dyDescent="0.25">
      <c r="A232" t="str">
        <f>T("   900999")</f>
        <v xml:space="preserve">   900999</v>
      </c>
      <c r="B232" t="str">
        <f>T("   Parties et accessoires d'appareils de photocopie et de thermocopie, n.d.a. (à l'excl. des dispositifs automatiques d'alimentation en documents, des dispositifs d'alimentation en papier et des dispositifs de tri)")</f>
        <v xml:space="preserve">   Parties et accessoires d'appareils de photocopie et de thermocopie, n.d.a. (à l'excl. des dispositifs automatiques d'alimentation en documents, des dispositifs d'alimentation en papier et des dispositifs de tri)</v>
      </c>
      <c r="C232">
        <v>1263626</v>
      </c>
      <c r="D232">
        <v>410</v>
      </c>
    </row>
    <row r="233" spans="1:4" x14ac:dyDescent="0.25">
      <c r="A233" t="str">
        <f>T("   903039")</f>
        <v xml:space="preserve">   903039</v>
      </c>
      <c r="B233" t="str">
        <f>T("   Instruments et appareils pour la mesure ou le contrôle de la tension, de l'intensité, de la résistance ou de la puissance, sans dispositif enregistreur (à l'excl. des multimètres ainsi que des oscilloscopes et oscillographes cathodiques)")</f>
        <v xml:space="preserve">   Instruments et appareils pour la mesure ou le contrôle de la tension, de l'intensité, de la résistance ou de la puissance, sans dispositif enregistreur (à l'excl. des multimètres ainsi que des oscilloscopes et oscillographes cathodiques)</v>
      </c>
      <c r="C233">
        <v>115524</v>
      </c>
      <c r="D233">
        <v>500</v>
      </c>
    </row>
    <row r="234" spans="1:4" x14ac:dyDescent="0.25">
      <c r="A234" t="str">
        <f>T("   903220")</f>
        <v xml:space="preserve">   903220</v>
      </c>
      <c r="B234" t="str">
        <f>T("   Manostats [pressostats] (sauf les articles de robinetterie du n° 8481)")</f>
        <v xml:space="preserve">   Manostats [pressostats] (sauf les articles de robinetterie du n° 8481)</v>
      </c>
      <c r="C234">
        <v>209912</v>
      </c>
      <c r="D234">
        <v>15</v>
      </c>
    </row>
    <row r="235" spans="1:4" x14ac:dyDescent="0.25">
      <c r="A235" t="str">
        <f>T("   903290")</f>
        <v xml:space="preserve">   903290</v>
      </c>
      <c r="B235" t="str">
        <f>T("   Parties et accessoires des instruments et appareils pour la régulation ou le contrôle automatiques, n.d.a.")</f>
        <v xml:space="preserve">   Parties et accessoires des instruments et appareils pour la régulation ou le contrôle automatiques, n.d.a.</v>
      </c>
      <c r="C235">
        <v>76531</v>
      </c>
      <c r="D235">
        <v>12</v>
      </c>
    </row>
    <row r="236" spans="1:4" x14ac:dyDescent="0.25">
      <c r="A236" t="str">
        <f>T("   910119")</f>
        <v xml:space="preserve">   910119</v>
      </c>
      <c r="B236" t="str">
        <f>T("   Montres-bracelets, même incorporant un compteur de temps, fonctionnant électriquement, à affichage mécanique et optoélectronique, avec boîte en métaux précieux ou en plaqués ou doublés de métaux précieux (sauf celles dont le fond est en acier)")</f>
        <v xml:space="preserve">   Montres-bracelets, même incorporant un compteur de temps, fonctionnant électriquement, à affichage mécanique et optoélectronique, avec boîte en métaux précieux ou en plaqués ou doublés de métaux précieux (sauf celles dont le fond est en acier)</v>
      </c>
      <c r="C236">
        <v>464970</v>
      </c>
      <c r="D236">
        <v>748</v>
      </c>
    </row>
    <row r="237" spans="1:4" x14ac:dyDescent="0.25">
      <c r="A237" t="str">
        <f>T("   910219")</f>
        <v xml:space="preserve">   910219</v>
      </c>
      <c r="B237" t="str">
        <f>T("   Montres-bracelets, même incorporant un compteur de temps, fonctionnant électriquement, à affichage mécanique et optoélectronique (autres que celles en métaux précieux ou en plaqués ou doublés de métaux précieux)")</f>
        <v xml:space="preserve">   Montres-bracelets, même incorporant un compteur de temps, fonctionnant électriquement, à affichage mécanique et optoélectronique (autres que celles en métaux précieux ou en plaqués ou doublés de métaux précieux)</v>
      </c>
      <c r="C237">
        <v>278023</v>
      </c>
      <c r="D237">
        <v>825</v>
      </c>
    </row>
    <row r="238" spans="1:4" x14ac:dyDescent="0.25">
      <c r="A238" t="str">
        <f>T("   910529")</f>
        <v xml:space="preserve">   910529</v>
      </c>
      <c r="B238" t="str">
        <f>T("   Pendules et horloges murales ne fonctionnant pas électriquement")</f>
        <v xml:space="preserve">   Pendules et horloges murales ne fonctionnant pas électriquement</v>
      </c>
      <c r="C238">
        <v>39471</v>
      </c>
      <c r="D238">
        <v>28</v>
      </c>
    </row>
    <row r="239" spans="1:4" x14ac:dyDescent="0.25">
      <c r="A239" t="str">
        <f>T("   940179")</f>
        <v xml:space="preserve">   940179</v>
      </c>
      <c r="B239" t="str">
        <f>T("   Sièges, avec bâti en métal non rembourrés (autres que fauteuils pivotants ajustables en hauteur et autres que pour la médecine, l'art dentaire ou la chirurgie)")</f>
        <v xml:space="preserve">   Sièges, avec bâti en métal non rembourrés (autres que fauteuils pivotants ajustables en hauteur et autres que pour la médecine, l'art dentaire ou la chirurgie)</v>
      </c>
      <c r="C239">
        <v>2354637</v>
      </c>
      <c r="D239">
        <v>11492</v>
      </c>
    </row>
    <row r="240" spans="1:4" x14ac:dyDescent="0.25">
      <c r="A240" t="str">
        <f>T("   940320")</f>
        <v xml:space="preserve">   940320</v>
      </c>
      <c r="B240"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240">
        <v>10296</v>
      </c>
      <c r="D240">
        <v>5</v>
      </c>
    </row>
    <row r="241" spans="1:4" x14ac:dyDescent="0.25">
      <c r="A241" t="str">
        <f>T("   940350")</f>
        <v xml:space="preserve">   940350</v>
      </c>
      <c r="B241" t="str">
        <f>T("   Meubles pour chambres à coucher, en bois (sauf sièges)")</f>
        <v xml:space="preserve">   Meubles pour chambres à coucher, en bois (sauf sièges)</v>
      </c>
      <c r="C241">
        <v>4143043</v>
      </c>
      <c r="D241">
        <v>3300</v>
      </c>
    </row>
    <row r="242" spans="1:4" x14ac:dyDescent="0.25">
      <c r="A242" t="str">
        <f>T("   940360")</f>
        <v xml:space="preserve">   940360</v>
      </c>
      <c r="B242" t="str">
        <f>T("   Meubles en bois (autres que pour bureaux, cuisines ou chambres à coucher et autres que sièges)")</f>
        <v xml:space="preserve">   Meubles en bois (autres que pour bureaux, cuisines ou chambres à coucher et autres que sièges)</v>
      </c>
      <c r="C242">
        <v>5618475</v>
      </c>
      <c r="D242">
        <v>11170</v>
      </c>
    </row>
    <row r="243" spans="1:4" x14ac:dyDescent="0.25">
      <c r="A243" t="str">
        <f>T("   940380")</f>
        <v xml:space="preserve">   940380</v>
      </c>
      <c r="B243" t="str">
        <f>T("   Meubles en rotin, osier, bambou ou autres matières (sauf métal, bois et matières plastiques)")</f>
        <v xml:space="preserve">   Meubles en rotin, osier, bambou ou autres matières (sauf métal, bois et matières plastiques)</v>
      </c>
      <c r="C243">
        <v>11962316</v>
      </c>
      <c r="D243">
        <v>26023</v>
      </c>
    </row>
    <row r="244" spans="1:4" x14ac:dyDescent="0.25">
      <c r="A244" t="str">
        <f>T("   940429")</f>
        <v xml:space="preserve">   940429</v>
      </c>
      <c r="B244" t="str">
        <f>T("   Matelas à ressorts ou rembourrés, ou garnis intérieurement de matières autres que le caoutchouc alvéolaire ou les matières plastiques alvéolaires (sauf matelas à eau, matelas pneumatiques et oreillers)")</f>
        <v xml:space="preserve">   Matelas à ressorts ou rembourrés, ou garnis intérieurement de matières autres que le caoutchouc alvéolaire ou les matières plastiques alvéolaires (sauf matelas à eau, matelas pneumatiques et oreillers)</v>
      </c>
      <c r="C244">
        <v>270282</v>
      </c>
      <c r="D244">
        <v>250</v>
      </c>
    </row>
    <row r="245" spans="1:4" x14ac:dyDescent="0.25">
      <c r="A245" t="str">
        <f>T("   940540")</f>
        <v xml:space="preserve">   940540</v>
      </c>
      <c r="B245" t="str">
        <f>T("   Appareils d'éclairage électrique, n.d.a.")</f>
        <v xml:space="preserve">   Appareils d'éclairage électrique, n.d.a.</v>
      </c>
      <c r="C245">
        <v>110222</v>
      </c>
      <c r="D245">
        <v>9</v>
      </c>
    </row>
    <row r="246" spans="1:4" x14ac:dyDescent="0.25">
      <c r="A246" t="str">
        <f>T("   950390")</f>
        <v xml:space="preserve">   950390</v>
      </c>
      <c r="B246" t="str">
        <f>T("   Jouets, n.d.a.")</f>
        <v xml:space="preserve">   Jouets, n.d.a.</v>
      </c>
      <c r="C246">
        <v>1480246</v>
      </c>
      <c r="D246">
        <v>1826</v>
      </c>
    </row>
    <row r="247" spans="1:4" x14ac:dyDescent="0.25">
      <c r="A247" t="str">
        <f>T("   950669")</f>
        <v xml:space="preserve">   950669</v>
      </c>
      <c r="B247" t="str">
        <f>T("   Ballons et balles (autres que gonflables et autres que balles de golf ou de tennis de table)")</f>
        <v xml:space="preserve">   Ballons et balles (autres que gonflables et autres que balles de golf ou de tennis de table)</v>
      </c>
      <c r="C247">
        <v>159623</v>
      </c>
      <c r="D247">
        <v>500</v>
      </c>
    </row>
    <row r="248" spans="1:4" x14ac:dyDescent="0.25">
      <c r="A248" t="str">
        <f>T("   950691")</f>
        <v xml:space="preserve">   950691</v>
      </c>
      <c r="B248" t="str">
        <f>T("   Articles et matériel pour la culture physique, la gymnastique ou l'athlétisme")</f>
        <v xml:space="preserve">   Articles et matériel pour la culture physique, la gymnastique ou l'athlétisme</v>
      </c>
      <c r="C248">
        <v>103530</v>
      </c>
      <c r="D248">
        <v>40</v>
      </c>
    </row>
    <row r="249" spans="1:4" x14ac:dyDescent="0.25">
      <c r="A249" t="str">
        <f>T("   960810")</f>
        <v xml:space="preserve">   960810</v>
      </c>
      <c r="B249" t="str">
        <f>T("   Stylos et crayons à bille")</f>
        <v xml:space="preserve">   Stylos et crayons à bille</v>
      </c>
      <c r="C249">
        <v>16987977</v>
      </c>
      <c r="D249">
        <v>9081</v>
      </c>
    </row>
    <row r="250" spans="1:4" x14ac:dyDescent="0.25">
      <c r="A250" t="str">
        <f>T("   970110")</f>
        <v xml:space="preserve">   970110</v>
      </c>
      <c r="B250" t="str">
        <f>T("   Tableaux, p.ex. peintures à l'huile, aquarelles et pastels, et dessins, faits entièrement à la main (à l'excl. des dessins du n° 4906 et des articles manufacturés décorés à la main)")</f>
        <v xml:space="preserve">   Tableaux, p.ex. peintures à l'huile, aquarelles et pastels, et dessins, faits entièrement à la main (à l'excl. des dessins du n° 4906 et des articles manufacturés décorés à la main)</v>
      </c>
      <c r="C250">
        <v>417410</v>
      </c>
      <c r="D250">
        <v>558</v>
      </c>
    </row>
    <row r="251" spans="1:4" x14ac:dyDescent="0.25">
      <c r="A251" t="str">
        <f>T("   970300")</f>
        <v xml:space="preserve">   970300</v>
      </c>
      <c r="B251" t="str">
        <f>T("   Productions originales de l'art statuaire ou de la sculpture, en toutes matières")</f>
        <v xml:space="preserve">   Productions originales de l'art statuaire ou de la sculpture, en toutes matières</v>
      </c>
      <c r="C251">
        <v>644036</v>
      </c>
      <c r="D251">
        <v>2020</v>
      </c>
    </row>
    <row r="252" spans="1:4" x14ac:dyDescent="0.25">
      <c r="A252" t="str">
        <f>T("AF")</f>
        <v>AF</v>
      </c>
      <c r="B252" t="str">
        <f>T("Afghanistan")</f>
        <v>Afghanistan</v>
      </c>
    </row>
    <row r="253" spans="1:4" x14ac:dyDescent="0.25">
      <c r="A253" t="str">
        <f>T("   ZZ_Total_Produit_SH6")</f>
        <v xml:space="preserve">   ZZ_Total_Produit_SH6</v>
      </c>
      <c r="B253" t="str">
        <f>T("   ZZ_Total_Produit_SH6")</f>
        <v xml:space="preserve">   ZZ_Total_Produit_SH6</v>
      </c>
      <c r="C253">
        <v>19186815</v>
      </c>
      <c r="D253">
        <v>774.7</v>
      </c>
    </row>
    <row r="254" spans="1:4" x14ac:dyDescent="0.25">
      <c r="A254" t="str">
        <f>T("   220429")</f>
        <v xml:space="preserve">   220429</v>
      </c>
      <c r="B254" t="str">
        <f>T("   VINS DE RAISINS FRAIS, Y.C. LES VINS ENRICHIS EN ALCOOL, ET MOÛTS DE RAISINS DONT LA FERMENTATION A ÉTÉ EMPÊCHÉE OU ARRÊTÉE PAR ADDITION D'ALCOOL, EN RÉCIPIENTS D'UNE CONTENANCE &gt; 2 L (À L'EXCL. DES VINS MOUSSEUX)")</f>
        <v xml:space="preserve">   VINS DE RAISINS FRAIS, Y.C. LES VINS ENRICHIS EN ALCOOL, ET MOÛTS DE RAISINS DONT LA FERMENTATION A ÉTÉ EMPÊCHÉE OU ARRÊTÉE PAR ADDITION D'ALCOOL, EN RÉCIPIENTS D'UNE CONTENANCE &gt; 2 L (À L'EXCL. DES VINS MOUSSEUX)</v>
      </c>
      <c r="C254">
        <v>305975</v>
      </c>
      <c r="D254">
        <v>27</v>
      </c>
    </row>
    <row r="255" spans="1:4" x14ac:dyDescent="0.25">
      <c r="A255" t="str">
        <f>T("   382200")</f>
        <v xml:space="preserve">   382200</v>
      </c>
      <c r="B255" t="s">
        <v>126</v>
      </c>
      <c r="C255">
        <v>995640</v>
      </c>
      <c r="D255">
        <v>25</v>
      </c>
    </row>
    <row r="256" spans="1:4" x14ac:dyDescent="0.25">
      <c r="A256" t="str">
        <f>T("   441400")</f>
        <v xml:space="preserve">   441400</v>
      </c>
      <c r="B256" t="str">
        <f>T("   Cadres en bois pour tableaux, photographies, miroirs ou objets simil.")</f>
        <v xml:space="preserve">   Cadres en bois pour tableaux, photographies, miroirs ou objets simil.</v>
      </c>
      <c r="C256">
        <v>92500</v>
      </c>
      <c r="D256">
        <v>5</v>
      </c>
    </row>
    <row r="257" spans="1:4" x14ac:dyDescent="0.25">
      <c r="A257" t="str">
        <f>T("   731815")</f>
        <v xml:space="preserve">   731815</v>
      </c>
      <c r="B257" t="s">
        <v>359</v>
      </c>
      <c r="C257">
        <v>160112</v>
      </c>
      <c r="D257">
        <v>10</v>
      </c>
    </row>
    <row r="258" spans="1:4" x14ac:dyDescent="0.25">
      <c r="A258" t="str">
        <f>T("   820780")</f>
        <v xml:space="preserve">   820780</v>
      </c>
      <c r="B258" t="str">
        <f>T("   Outils interchangeables à tourner")</f>
        <v xml:space="preserve">   Outils interchangeables à tourner</v>
      </c>
      <c r="C258">
        <v>1606608</v>
      </c>
      <c r="D258">
        <v>98</v>
      </c>
    </row>
    <row r="259" spans="1:4" x14ac:dyDescent="0.25">
      <c r="A259" t="str">
        <f>T("   842139")</f>
        <v xml:space="preserve">   842139</v>
      </c>
      <c r="B259" t="str">
        <f>T("   Appareils pour la filtration ou l'épuration des gaz (autres que pour la séparation isotopique et sauf les filtres d'entrée d'air pour moteurs à allumage par étincelles ou par compression)")</f>
        <v xml:space="preserve">   Appareils pour la filtration ou l'épuration des gaz (autres que pour la séparation isotopique et sauf les filtres d'entrée d'air pour moteurs à allumage par étincelles ou par compression)</v>
      </c>
      <c r="C259">
        <v>312669</v>
      </c>
      <c r="D259">
        <v>5</v>
      </c>
    </row>
    <row r="260" spans="1:4" x14ac:dyDescent="0.25">
      <c r="A260" t="str">
        <f>T("   843120")</f>
        <v xml:space="preserve">   843120</v>
      </c>
      <c r="B260" t="str">
        <f>T("   Parties de chariots-gerbeurs et autres chariots de manutention munis d'un dispositif de levage, n.d.a.")</f>
        <v xml:space="preserve">   Parties de chariots-gerbeurs et autres chariots de manutention munis d'un dispositif de levage, n.d.a.</v>
      </c>
      <c r="C260">
        <v>10006374</v>
      </c>
      <c r="D260">
        <v>177</v>
      </c>
    </row>
    <row r="261" spans="1:4" x14ac:dyDescent="0.25">
      <c r="A261" t="str">
        <f>T("   843139")</f>
        <v xml:space="preserve">   843139</v>
      </c>
      <c r="B261" t="str">
        <f>T("   Parties de machines et appareils du n° 8428, n.d.a.")</f>
        <v xml:space="preserve">   Parties de machines et appareils du n° 8428, n.d.a.</v>
      </c>
      <c r="C261">
        <v>492156</v>
      </c>
      <c r="D261">
        <v>13</v>
      </c>
    </row>
    <row r="262" spans="1:4" x14ac:dyDescent="0.25">
      <c r="A262" t="str">
        <f>T("   843149")</f>
        <v xml:space="preserve">   843149</v>
      </c>
      <c r="B262" t="str">
        <f>T("   Parties de machines et appareils du n° 8426, 8429 ou 8430, n.d.a.")</f>
        <v xml:space="preserve">   Parties de machines et appareils du n° 8426, 8429 ou 8430, n.d.a.</v>
      </c>
      <c r="C262">
        <v>1778167</v>
      </c>
      <c r="D262">
        <v>20</v>
      </c>
    </row>
    <row r="263" spans="1:4" x14ac:dyDescent="0.25">
      <c r="A263" t="str">
        <f>T("   851780")</f>
        <v xml:space="preserve">   851780</v>
      </c>
      <c r="B263" t="s">
        <v>458</v>
      </c>
      <c r="C263">
        <v>285862</v>
      </c>
      <c r="D263">
        <v>350</v>
      </c>
    </row>
    <row r="264" spans="1:4" x14ac:dyDescent="0.25">
      <c r="A264" t="str">
        <f>T("   853650")</f>
        <v xml:space="preserve">   853650</v>
      </c>
      <c r="B264" t="str">
        <f>T("   Interrupteurs, sectionneurs et commutateurs, pour une tension &lt;= 1.000 V (autres que relais et disjoncteurs)")</f>
        <v xml:space="preserve">   Interrupteurs, sectionneurs et commutateurs, pour une tension &lt;= 1.000 V (autres que relais et disjoncteurs)</v>
      </c>
      <c r="C264">
        <v>722560</v>
      </c>
      <c r="D264">
        <v>1.5</v>
      </c>
    </row>
    <row r="265" spans="1:4" x14ac:dyDescent="0.25">
      <c r="A265" t="str">
        <f>T("   853929")</f>
        <v xml:space="preserve">   853929</v>
      </c>
      <c r="B265" t="str">
        <f>T("   Lampes et tubes à incandescence électriques (autres que lampes et tubes halogènes, au tungstène, lampes d'une puissance &lt;= 200 W et pour une tension &gt; 100 V, et lampes à rayons ultraviolets ou infrarouges)")</f>
        <v xml:space="preserve">   Lampes et tubes à incandescence électriques (autres que lampes et tubes halogènes, au tungstène, lampes d'une puissance &lt;= 200 W et pour une tension &gt; 100 V, et lampes à rayons ultraviolets ou infrarouges)</v>
      </c>
      <c r="C265">
        <v>264163</v>
      </c>
      <c r="D265">
        <v>11</v>
      </c>
    </row>
    <row r="266" spans="1:4" x14ac:dyDescent="0.25">
      <c r="A266" t="str">
        <f>T("   870891")</f>
        <v xml:space="preserve">   870891</v>
      </c>
      <c r="B266" t="str">
        <f>T("   RADIATEURS ET LEURS PARTIES, POUR TRACTEURS, VÉHICULES POUR LE TRANSPORT DE &gt;= 10 PERSONNES, CHAUFFEUR INCLUS, VOITURES DE TOURISME, VÉHICULES POUR LE TRANSPORT DE MARCHANDISES ET VÉHICULES À USAGES SPÉCIAUX, N.D.A.")</f>
        <v xml:space="preserve">   RADIATEURS ET LEURS PARTIES, POUR TRACTEURS, VÉHICULES POUR LE TRANSPORT DE &gt;= 10 PERSONNES, CHAUFFEUR INCLUS, VOITURES DE TOURISME, VÉHICULES POUR LE TRANSPORT DE MARCHANDISES ET VÉHICULES À USAGES SPÉCIAUX, N.D.A.</v>
      </c>
      <c r="C266">
        <v>442961</v>
      </c>
      <c r="D266">
        <v>20</v>
      </c>
    </row>
    <row r="267" spans="1:4" x14ac:dyDescent="0.25">
      <c r="A267" t="str">
        <f>T("   901730")</f>
        <v xml:space="preserve">   901730</v>
      </c>
      <c r="B267" t="str">
        <f>T("   Micromètres, pieds à coulisses, calibres et jauges")</f>
        <v xml:space="preserve">   Micromètres, pieds à coulisses, calibres et jauges</v>
      </c>
      <c r="C267">
        <v>364599</v>
      </c>
      <c r="D267">
        <v>5</v>
      </c>
    </row>
    <row r="268" spans="1:4" x14ac:dyDescent="0.25">
      <c r="A268" t="str">
        <f>T("   901780")</f>
        <v xml:space="preserve">   901780</v>
      </c>
      <c r="B268" t="str">
        <f>T("   Instruments de mesure de longueurs, pour emploi à la main, n.d.a.")</f>
        <v xml:space="preserve">   Instruments de mesure de longueurs, pour emploi à la main, n.d.a.</v>
      </c>
      <c r="C268">
        <v>312588</v>
      </c>
      <c r="D268">
        <v>3.8</v>
      </c>
    </row>
    <row r="269" spans="1:4" x14ac:dyDescent="0.25">
      <c r="A269" t="str">
        <f>T("   902680")</f>
        <v xml:space="preserve">   902680</v>
      </c>
      <c r="B269" t="str">
        <f>T("   Instruments et appareils pour la mesure et le contrôle des caractéristiques variables des liquides ou des gaz, n.d.a.")</f>
        <v xml:space="preserve">   Instruments et appareils pour la mesure et le contrôle des caractéristiques variables des liquides ou des gaz, n.d.a.</v>
      </c>
      <c r="C269">
        <v>563686</v>
      </c>
      <c r="D269">
        <v>3</v>
      </c>
    </row>
    <row r="270" spans="1:4" x14ac:dyDescent="0.25">
      <c r="A270" t="str">
        <f>T("   903089")</f>
        <v xml:space="preserve">   903089</v>
      </c>
      <c r="B270" t="str">
        <f>T("   Instruments et appareils pour la mesure ou le contrôle de grandeurs électriques, sans dispositif enregistreur, n.d.a.")</f>
        <v xml:space="preserve">   Instruments et appareils pour la mesure ou le contrôle de grandeurs électriques, sans dispositif enregistreur, n.d.a.</v>
      </c>
      <c r="C270">
        <v>480195</v>
      </c>
      <c r="D270">
        <v>0.4</v>
      </c>
    </row>
    <row r="271" spans="1:4" x14ac:dyDescent="0.25">
      <c r="A271" t="str">
        <f>T("AG")</f>
        <v>AG</v>
      </c>
      <c r="B271" t="str">
        <f>T("Antigua et Barbuda")</f>
        <v>Antigua et Barbuda</v>
      </c>
    </row>
    <row r="272" spans="1:4" x14ac:dyDescent="0.25">
      <c r="A272" t="str">
        <f>T("   ZZ_Total_Produit_SH6")</f>
        <v xml:space="preserve">   ZZ_Total_Produit_SH6</v>
      </c>
      <c r="B272" t="str">
        <f>T("   ZZ_Total_Produit_SH6")</f>
        <v xml:space="preserve">   ZZ_Total_Produit_SH6</v>
      </c>
      <c r="C272">
        <v>2858158</v>
      </c>
      <c r="D272">
        <v>354</v>
      </c>
    </row>
    <row r="273" spans="1:4" x14ac:dyDescent="0.25">
      <c r="A273" t="str">
        <f>T("   843120")</f>
        <v xml:space="preserve">   843120</v>
      </c>
      <c r="B273" t="str">
        <f>T("   Parties de chariots-gerbeurs et autres chariots de manutention munis d'un dispositif de levage, n.d.a.")</f>
        <v xml:space="preserve">   Parties de chariots-gerbeurs et autres chariots de manutention munis d'un dispositif de levage, n.d.a.</v>
      </c>
      <c r="C273">
        <v>1942120</v>
      </c>
      <c r="D273">
        <v>70</v>
      </c>
    </row>
    <row r="274" spans="1:4" x14ac:dyDescent="0.25">
      <c r="A274" t="str">
        <f>T("   870899")</f>
        <v xml:space="preserve">   870899</v>
      </c>
      <c r="B274"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274">
        <v>916038</v>
      </c>
      <c r="D274">
        <v>284</v>
      </c>
    </row>
    <row r="275" spans="1:4" x14ac:dyDescent="0.25">
      <c r="A275" t="str">
        <f>T("AL")</f>
        <v>AL</v>
      </c>
      <c r="B275" t="str">
        <f>T("Albanie")</f>
        <v>Albanie</v>
      </c>
    </row>
    <row r="276" spans="1:4" x14ac:dyDescent="0.25">
      <c r="A276" t="str">
        <f>T("   ZZ_Total_Produit_SH6")</f>
        <v xml:space="preserve">   ZZ_Total_Produit_SH6</v>
      </c>
      <c r="B276" t="str">
        <f>T("   ZZ_Total_Produit_SH6")</f>
        <v xml:space="preserve">   ZZ_Total_Produit_SH6</v>
      </c>
      <c r="C276">
        <v>6901073</v>
      </c>
      <c r="D276">
        <v>9374</v>
      </c>
    </row>
    <row r="277" spans="1:4" x14ac:dyDescent="0.25">
      <c r="A277" t="str">
        <f>T("   630900")</f>
        <v xml:space="preserve">   630900</v>
      </c>
      <c r="B277" t="s">
        <v>278</v>
      </c>
      <c r="C277">
        <v>2990665</v>
      </c>
      <c r="D277">
        <v>5285</v>
      </c>
    </row>
    <row r="278" spans="1:4" x14ac:dyDescent="0.25">
      <c r="A278" t="str">
        <f>T("   841780")</f>
        <v xml:space="preserve">   841780</v>
      </c>
      <c r="B278" t="s">
        <v>403</v>
      </c>
      <c r="C278">
        <v>40266</v>
      </c>
      <c r="D278">
        <v>25</v>
      </c>
    </row>
    <row r="279" spans="1:4" x14ac:dyDescent="0.25">
      <c r="A279" t="str">
        <f>T("   853630")</f>
        <v xml:space="preserve">   853630</v>
      </c>
      <c r="B279" t="str">
        <f>T("   APPAREILS POUR LA PROTECTION DES CIRCUITS ÉLECTRIQUES (SAUF FUSIBLES, COUPE-CIRCUIT À FUSIBLES ET DISJONCTEURS), POUR UNE TENSION &lt;= 1.000 V")</f>
        <v xml:space="preserve">   APPAREILS POUR LA PROTECTION DES CIRCUITS ÉLECTRIQUES (SAUF FUSIBLES, COUPE-CIRCUIT À FUSIBLES ET DISJONCTEURS), POUR UNE TENSION &lt;= 1.000 V</v>
      </c>
      <c r="C279">
        <v>266995</v>
      </c>
      <c r="D279">
        <v>4</v>
      </c>
    </row>
    <row r="280" spans="1:4" x14ac:dyDescent="0.25">
      <c r="A280" t="str">
        <f>T("   870210")</f>
        <v xml:space="preserve">   870210</v>
      </c>
      <c r="B280" t="s">
        <v>477</v>
      </c>
      <c r="C280">
        <v>1203147</v>
      </c>
      <c r="D280">
        <v>1710</v>
      </c>
    </row>
    <row r="281" spans="1:4" x14ac:dyDescent="0.25">
      <c r="A281" t="str">
        <f>T("   870321")</f>
        <v xml:space="preserve">   870321</v>
      </c>
      <c r="B281" t="s">
        <v>479</v>
      </c>
      <c r="C281">
        <v>1200000</v>
      </c>
      <c r="D281">
        <v>850</v>
      </c>
    </row>
    <row r="282" spans="1:4" x14ac:dyDescent="0.25">
      <c r="A282" t="str">
        <f>T("   870421")</f>
        <v xml:space="preserve">   870421</v>
      </c>
      <c r="B282" t="s">
        <v>486</v>
      </c>
      <c r="C282">
        <v>1200000</v>
      </c>
      <c r="D282">
        <v>1500</v>
      </c>
    </row>
    <row r="283" spans="1:4" x14ac:dyDescent="0.25">
      <c r="A283" t="str">
        <f>T("AM")</f>
        <v>AM</v>
      </c>
      <c r="B283" t="str">
        <f>T("Arménie")</f>
        <v>Arménie</v>
      </c>
    </row>
    <row r="284" spans="1:4" x14ac:dyDescent="0.25">
      <c r="A284" t="str">
        <f>T("   ZZ_Total_Produit_SH6")</f>
        <v xml:space="preserve">   ZZ_Total_Produit_SH6</v>
      </c>
      <c r="B284" t="str">
        <f>T("   ZZ_Total_Produit_SH6")</f>
        <v xml:space="preserve">   ZZ_Total_Produit_SH6</v>
      </c>
      <c r="C284">
        <v>26915133</v>
      </c>
      <c r="D284">
        <v>14079</v>
      </c>
    </row>
    <row r="285" spans="1:4" x14ac:dyDescent="0.25">
      <c r="A285" t="str">
        <f>T("   392310")</f>
        <v xml:space="preserve">   392310</v>
      </c>
      <c r="B285" t="str">
        <f>T("   Boîtes, caisses, casiers et articles simil. pour le transport ou l'emballage, en matières plastiques")</f>
        <v xml:space="preserve">   Boîtes, caisses, casiers et articles simil. pour le transport ou l'emballage, en matières plastiques</v>
      </c>
      <c r="C285">
        <v>87721</v>
      </c>
      <c r="D285">
        <v>21</v>
      </c>
    </row>
    <row r="286" spans="1:4" x14ac:dyDescent="0.25">
      <c r="A286" t="str">
        <f>T("   840999")</f>
        <v xml:space="preserve">   840999</v>
      </c>
      <c r="B286"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286">
        <v>1259253</v>
      </c>
      <c r="D286">
        <v>1365</v>
      </c>
    </row>
    <row r="287" spans="1:4" x14ac:dyDescent="0.25">
      <c r="A287" t="str">
        <f>T("   870322")</f>
        <v xml:space="preserve">   870322</v>
      </c>
      <c r="B287" t="s">
        <v>480</v>
      </c>
      <c r="C287">
        <v>17586379</v>
      </c>
      <c r="D287">
        <v>7663</v>
      </c>
    </row>
    <row r="288" spans="1:4" x14ac:dyDescent="0.25">
      <c r="A288" t="str">
        <f>T("   870331")</f>
        <v xml:space="preserve">   870331</v>
      </c>
      <c r="B288" t="s">
        <v>483</v>
      </c>
      <c r="C288">
        <v>6759917</v>
      </c>
      <c r="D288">
        <v>5000</v>
      </c>
    </row>
    <row r="289" spans="1:4" x14ac:dyDescent="0.25">
      <c r="A289" t="str">
        <f>T("   901890")</f>
        <v xml:space="preserve">   901890</v>
      </c>
      <c r="B289" t="str">
        <f>T("   Instruments et appareils pour la médecine, la chirurgie ou l'art vétérinaire, n.d.a.")</f>
        <v xml:space="preserve">   Instruments et appareils pour la médecine, la chirurgie ou l'art vétérinaire, n.d.a.</v>
      </c>
      <c r="C289">
        <v>1221863</v>
      </c>
      <c r="D289">
        <v>30</v>
      </c>
    </row>
    <row r="290" spans="1:4" x14ac:dyDescent="0.25">
      <c r="A290" t="str">
        <f>T("AN")</f>
        <v>AN</v>
      </c>
      <c r="B290" t="str">
        <f>T("Antilles Néerlandaises")</f>
        <v>Antilles Néerlandaises</v>
      </c>
    </row>
    <row r="291" spans="1:4" x14ac:dyDescent="0.25">
      <c r="A291" t="str">
        <f>T("   ZZ_Total_Produit_SH6")</f>
        <v xml:space="preserve">   ZZ_Total_Produit_SH6</v>
      </c>
      <c r="B291" t="str">
        <f>T("   ZZ_Total_Produit_SH6")</f>
        <v xml:space="preserve">   ZZ_Total_Produit_SH6</v>
      </c>
      <c r="C291">
        <v>3359130</v>
      </c>
      <c r="D291">
        <v>409.4</v>
      </c>
    </row>
    <row r="292" spans="1:4" x14ac:dyDescent="0.25">
      <c r="A292" t="str">
        <f>T("   300420")</f>
        <v xml:space="preserve">   300420</v>
      </c>
      <c r="B292" t="s">
        <v>77</v>
      </c>
      <c r="C292">
        <v>1800000</v>
      </c>
      <c r="D292">
        <v>314.39999999999998</v>
      </c>
    </row>
    <row r="293" spans="1:4" x14ac:dyDescent="0.25">
      <c r="A293" t="str">
        <f>T("   382200")</f>
        <v xml:space="preserve">   382200</v>
      </c>
      <c r="B293" t="s">
        <v>126</v>
      </c>
      <c r="C293">
        <v>1286380</v>
      </c>
      <c r="D293">
        <v>50</v>
      </c>
    </row>
    <row r="294" spans="1:4" x14ac:dyDescent="0.25">
      <c r="A294" t="str">
        <f>T("   854449")</f>
        <v xml:space="preserve">   854449</v>
      </c>
      <c r="B294" t="str">
        <f>T("   CONDUCTEURS ÉLECTRIQUES, POUR TENSION &lt;= 1.000 V, ISOLÉS, SANS PIÈCES DE CONNEXION, N.D.A.")</f>
        <v xml:space="preserve">   CONDUCTEURS ÉLECTRIQUES, POUR TENSION &lt;= 1.000 V, ISOLÉS, SANS PIÈCES DE CONNEXION, N.D.A.</v>
      </c>
      <c r="C294">
        <v>272750</v>
      </c>
      <c r="D294">
        <v>45</v>
      </c>
    </row>
    <row r="295" spans="1:4" x14ac:dyDescent="0.25">
      <c r="A295" t="str">
        <f>T("AO")</f>
        <v>AO</v>
      </c>
      <c r="B295" t="str">
        <f>T("Angola")</f>
        <v>Angola</v>
      </c>
    </row>
    <row r="296" spans="1:4" x14ac:dyDescent="0.25">
      <c r="A296" t="str">
        <f>T("   ZZ_Total_Produit_SH6")</f>
        <v xml:space="preserve">   ZZ_Total_Produit_SH6</v>
      </c>
      <c r="B296" t="str">
        <f>T("   ZZ_Total_Produit_SH6")</f>
        <v xml:space="preserve">   ZZ_Total_Produit_SH6</v>
      </c>
      <c r="C296">
        <v>3000000</v>
      </c>
      <c r="D296">
        <v>1600</v>
      </c>
    </row>
    <row r="297" spans="1:4" x14ac:dyDescent="0.25">
      <c r="A297" t="str">
        <f>T("   732394")</f>
        <v xml:space="preserve">   732394</v>
      </c>
      <c r="B297" t="s">
        <v>367</v>
      </c>
      <c r="C297">
        <v>600000</v>
      </c>
      <c r="D297">
        <v>200</v>
      </c>
    </row>
    <row r="298" spans="1:4" x14ac:dyDescent="0.25">
      <c r="A298" t="str">
        <f>T("   940350")</f>
        <v xml:space="preserve">   940350</v>
      </c>
      <c r="B298" t="str">
        <f>T("   Meubles pour chambres à coucher, en bois (sauf sièges)")</f>
        <v xml:space="preserve">   Meubles pour chambres à coucher, en bois (sauf sièges)</v>
      </c>
      <c r="C298">
        <v>2400000</v>
      </c>
      <c r="D298">
        <v>1400</v>
      </c>
    </row>
    <row r="299" spans="1:4" x14ac:dyDescent="0.25">
      <c r="A299" t="str">
        <f>T("AR")</f>
        <v>AR</v>
      </c>
      <c r="B299" t="str">
        <f>T("Argentine")</f>
        <v>Argentine</v>
      </c>
    </row>
    <row r="300" spans="1:4" x14ac:dyDescent="0.25">
      <c r="A300" t="str">
        <f>T("   ZZ_Total_Produit_SH6")</f>
        <v xml:space="preserve">   ZZ_Total_Produit_SH6</v>
      </c>
      <c r="B300" t="str">
        <f>T("   ZZ_Total_Produit_SH6")</f>
        <v xml:space="preserve">   ZZ_Total_Produit_SH6</v>
      </c>
      <c r="C300">
        <v>2362221523.3909998</v>
      </c>
      <c r="D300">
        <v>9153845</v>
      </c>
    </row>
    <row r="301" spans="1:4" x14ac:dyDescent="0.25">
      <c r="A301" t="str">
        <f>T("   030329")</f>
        <v xml:space="preserve">   030329</v>
      </c>
      <c r="B301" t="str">
        <f>T("   Salmonidés, congelés (à l'excl. des saumons du Pacifique, de l'Atlantique et du Danube ainsi que des truites)")</f>
        <v xml:space="preserve">   Salmonidés, congelés (à l'excl. des saumons du Pacifique, de l'Atlantique et du Danube ainsi que des truites)</v>
      </c>
      <c r="C301">
        <v>4427730</v>
      </c>
      <c r="D301">
        <v>25000</v>
      </c>
    </row>
    <row r="302" spans="1:4" x14ac:dyDescent="0.25">
      <c r="A302" t="str">
        <f>T("   030379")</f>
        <v xml:space="preserve">   030379</v>
      </c>
      <c r="B302" t="s">
        <v>17</v>
      </c>
      <c r="C302">
        <v>28887875</v>
      </c>
      <c r="D302">
        <v>165000</v>
      </c>
    </row>
    <row r="303" spans="1:4" x14ac:dyDescent="0.25">
      <c r="A303" t="str">
        <f>T("   040221")</f>
        <v xml:space="preserve">   040221</v>
      </c>
      <c r="B303" t="str">
        <f>T("   Lait et crème de lait, en poudre, en granulés ou sous d'autres formes solides, d'une teneur en poids de matières grasses &gt; 1,5%, sans addition de sucre ou d'autres édulcorants")</f>
        <v xml:space="preserve">   Lait et crème de lait, en poudre, en granulés ou sous d'autres formes solides, d'une teneur en poids de matières grasses &gt; 1,5%, sans addition de sucre ou d'autres édulcorants</v>
      </c>
      <c r="C303">
        <v>26238400</v>
      </c>
      <c r="D303">
        <v>25350</v>
      </c>
    </row>
    <row r="304" spans="1:4" x14ac:dyDescent="0.25">
      <c r="A304" t="str">
        <f>T("   080810")</f>
        <v xml:space="preserve">   080810</v>
      </c>
      <c r="B304" t="str">
        <f>T("   Pommes, fraîches")</f>
        <v xml:space="preserve">   Pommes, fraîches</v>
      </c>
      <c r="C304">
        <v>14000810</v>
      </c>
      <c r="D304">
        <v>44688</v>
      </c>
    </row>
    <row r="305" spans="1:4" x14ac:dyDescent="0.25">
      <c r="A305" t="str">
        <f>T("   100590")</f>
        <v xml:space="preserve">   100590</v>
      </c>
      <c r="B305" t="str">
        <f>T("   Maïs (autre que de semence)")</f>
        <v xml:space="preserve">   Maïs (autre que de semence)</v>
      </c>
      <c r="C305">
        <v>138458800</v>
      </c>
      <c r="D305">
        <v>558523</v>
      </c>
    </row>
    <row r="306" spans="1:4" x14ac:dyDescent="0.25">
      <c r="A306" t="str">
        <f>T("   100630")</f>
        <v xml:space="preserve">   100630</v>
      </c>
      <c r="B306" t="str">
        <f>T("   Riz semi-blanchi ou blanchi, même poli ou glacé")</f>
        <v xml:space="preserve">   Riz semi-blanchi ou blanchi, même poli ou glacé</v>
      </c>
      <c r="C306">
        <v>2097027884.391</v>
      </c>
      <c r="D306">
        <v>8200000</v>
      </c>
    </row>
    <row r="307" spans="1:4" x14ac:dyDescent="0.25">
      <c r="A307" t="str">
        <f>T("   170490")</f>
        <v xml:space="preserve">   170490</v>
      </c>
      <c r="B307" t="str">
        <f>T("   Sucreries sans cacao, y.c. le chocolat blanc (à l'excl. des gommes à mâcher)")</f>
        <v xml:space="preserve">   Sucreries sans cacao, y.c. le chocolat blanc (à l'excl. des gommes à mâcher)</v>
      </c>
      <c r="C307">
        <v>9040541</v>
      </c>
      <c r="D307">
        <v>6364</v>
      </c>
    </row>
    <row r="308" spans="1:4" x14ac:dyDescent="0.25">
      <c r="A308" t="str">
        <f>T("   190410")</f>
        <v xml:space="preserve">   190410</v>
      </c>
      <c r="B308" t="str">
        <f>T("   PRODUITS À BASE DE CÉRÉALES OBTENUS PAR SOUFFLAGE OU GRILLAGE [CORN FLAKES, P.EX.]")</f>
        <v xml:space="preserve">   PRODUITS À BASE DE CÉRÉALES OBTENUS PAR SOUFFLAGE OU GRILLAGE [CORN FLAKES, P.EX.]</v>
      </c>
      <c r="C308">
        <v>1311920</v>
      </c>
      <c r="D308">
        <v>52200</v>
      </c>
    </row>
    <row r="309" spans="1:4" x14ac:dyDescent="0.25">
      <c r="A309" t="str">
        <f>T("   200580")</f>
        <v xml:space="preserve">   200580</v>
      </c>
      <c r="B309" t="str">
        <f>T("   Maïs doux [Zea mays var. saccharata], préparé ou conservé autrement qu'au vinaigre ou à l'acide acétique, non congelé")</f>
        <v xml:space="preserve">   Maïs doux [Zea mays var. saccharata], préparé ou conservé autrement qu'au vinaigre ou à l'acide acétique, non congelé</v>
      </c>
      <c r="C309">
        <v>4325000</v>
      </c>
      <c r="D309">
        <v>51400</v>
      </c>
    </row>
    <row r="310" spans="1:4" x14ac:dyDescent="0.25">
      <c r="A310" t="str">
        <f>T("   220421")</f>
        <v xml:space="preserve">   220421</v>
      </c>
      <c r="B310" t="str">
        <f>T("   Vins de raisins frais, y.c. les vins enrichis en alcool (à l'excl. des vins mousseux); moûts de raisins dont la fermentation a été empêchée ou arrêtée par addition d'alcool, en récipients d'une contenance &lt;= 2 l")</f>
        <v xml:space="preserve">   Vins de raisins frais, y.c. les vins enrichis en alcool (à l'excl. des vins mousseux); moûts de raisins dont la fermentation a été empêchée ou arrêtée par addition d'alcool, en récipients d'une contenance &lt;= 2 l</v>
      </c>
      <c r="C310">
        <v>10616644</v>
      </c>
      <c r="D310">
        <v>18144</v>
      </c>
    </row>
    <row r="311" spans="1:4" x14ac:dyDescent="0.25">
      <c r="A311" t="str">
        <f>T("   300490")</f>
        <v xml:space="preserve">   300490</v>
      </c>
      <c r="B311" t="s">
        <v>80</v>
      </c>
      <c r="C311">
        <v>26382712</v>
      </c>
      <c r="D311">
        <v>6655</v>
      </c>
    </row>
    <row r="312" spans="1:4" x14ac:dyDescent="0.25">
      <c r="A312" t="str">
        <f>T("   630533")</f>
        <v xml:space="preserve">   630533</v>
      </c>
      <c r="B312" t="str">
        <f>T("   Sacs et sachets d'emballage obtenus à partir de lames ou formes simil., de polyéthylène ou polypropylène (à l'excl. des contenants souples pour matières en vrac)")</f>
        <v xml:space="preserve">   Sacs et sachets d'emballage obtenus à partir de lames ou formes simil., de polyéthylène ou polypropylène (à l'excl. des contenants souples pour matières en vrac)</v>
      </c>
      <c r="C312">
        <v>400000</v>
      </c>
      <c r="D312">
        <v>480</v>
      </c>
    </row>
    <row r="313" spans="1:4" x14ac:dyDescent="0.25">
      <c r="A313" t="str">
        <f>T("   842123")</f>
        <v xml:space="preserve">   842123</v>
      </c>
      <c r="B313" t="str">
        <f>T("   Appareils pour la filtration des huiles minérales et carburants pour les moteurs à allumage par étincelles ou par compression")</f>
        <v xml:space="preserve">   Appareils pour la filtration des huiles minérales et carburants pour les moteurs à allumage par étincelles ou par compression</v>
      </c>
      <c r="C313">
        <v>27695</v>
      </c>
      <c r="D313">
        <v>1</v>
      </c>
    </row>
    <row r="314" spans="1:4" x14ac:dyDescent="0.25">
      <c r="A314" t="str">
        <f>T("   843149")</f>
        <v xml:space="preserve">   843149</v>
      </c>
      <c r="B314" t="str">
        <f>T("   Parties de machines et appareils du n° 8426, 8429 ou 8430, n.d.a.")</f>
        <v xml:space="preserve">   Parties de machines et appareils du n° 8426, 8429 ou 8430, n.d.a.</v>
      </c>
      <c r="C314">
        <v>1075512</v>
      </c>
      <c r="D314">
        <v>40</v>
      </c>
    </row>
    <row r="315" spans="1:4" x14ac:dyDescent="0.25">
      <c r="A315" t="str">
        <f>T("AS")</f>
        <v>AS</v>
      </c>
      <c r="B315" t="str">
        <f>T("Samoa Américaines")</f>
        <v>Samoa Américaines</v>
      </c>
    </row>
    <row r="316" spans="1:4" x14ac:dyDescent="0.25">
      <c r="A316" t="str">
        <f>T("   ZZ_Total_Produit_SH6")</f>
        <v xml:space="preserve">   ZZ_Total_Produit_SH6</v>
      </c>
      <c r="B316" t="str">
        <f>T("   ZZ_Total_Produit_SH6")</f>
        <v xml:space="preserve">   ZZ_Total_Produit_SH6</v>
      </c>
      <c r="C316">
        <v>15234418</v>
      </c>
      <c r="D316">
        <v>269</v>
      </c>
    </row>
    <row r="317" spans="1:4" x14ac:dyDescent="0.25">
      <c r="A317" t="str">
        <f>T("   843120")</f>
        <v xml:space="preserve">   843120</v>
      </c>
      <c r="B317" t="str">
        <f>T("   Parties de chariots-gerbeurs et autres chariots de manutention munis d'un dispositif de levage, n.d.a.")</f>
        <v xml:space="preserve">   Parties de chariots-gerbeurs et autres chariots de manutention munis d'un dispositif de levage, n.d.a.</v>
      </c>
      <c r="C317">
        <v>143015</v>
      </c>
      <c r="D317">
        <v>11</v>
      </c>
    </row>
    <row r="318" spans="1:4" x14ac:dyDescent="0.25">
      <c r="A318" t="str">
        <f>T("   846694")</f>
        <v xml:space="preserve">   846694</v>
      </c>
      <c r="B318" t="str">
        <f>T("   Parties et accessoires pour machines-outils pour le travail du métal avec enlèvement de matière, n.d.a.")</f>
        <v xml:space="preserve">   Parties et accessoires pour machines-outils pour le travail du métal avec enlèvement de matière, n.d.a.</v>
      </c>
      <c r="C318">
        <v>10542589</v>
      </c>
      <c r="D318">
        <v>239</v>
      </c>
    </row>
    <row r="319" spans="1:4" x14ac:dyDescent="0.25">
      <c r="A319" t="str">
        <f>T("   848490")</f>
        <v xml:space="preserve">   848490</v>
      </c>
      <c r="B319" t="str">
        <f>T("   Jeux ou assortiments de joints de composition différente présentés en pochettes, enveloppes ou emballages analogues")</f>
        <v xml:space="preserve">   Jeux ou assortiments de joints de composition différente présentés en pochettes, enveloppes ou emballages analogues</v>
      </c>
      <c r="C319">
        <v>269159</v>
      </c>
      <c r="D319">
        <v>1</v>
      </c>
    </row>
    <row r="320" spans="1:4" x14ac:dyDescent="0.25">
      <c r="A320" t="str">
        <f>T("   851780")</f>
        <v xml:space="preserve">   851780</v>
      </c>
      <c r="B320" t="s">
        <v>458</v>
      </c>
      <c r="C320">
        <v>4279655</v>
      </c>
      <c r="D320">
        <v>18</v>
      </c>
    </row>
    <row r="321" spans="1:4" x14ac:dyDescent="0.25">
      <c r="A321" t="str">
        <f>T("AT")</f>
        <v>AT</v>
      </c>
      <c r="B321" t="str">
        <f>T("Autriche")</f>
        <v>Autriche</v>
      </c>
    </row>
    <row r="322" spans="1:4" x14ac:dyDescent="0.25">
      <c r="A322" t="str">
        <f>T("   ZZ_Total_Produit_SH6")</f>
        <v xml:space="preserve">   ZZ_Total_Produit_SH6</v>
      </c>
      <c r="B322" t="str">
        <f>T("   ZZ_Total_Produit_SH6")</f>
        <v xml:space="preserve">   ZZ_Total_Produit_SH6</v>
      </c>
      <c r="C322">
        <v>256686549</v>
      </c>
      <c r="D322">
        <v>523903.5</v>
      </c>
    </row>
    <row r="323" spans="1:4" x14ac:dyDescent="0.25">
      <c r="A323" t="str">
        <f>T("   220290")</f>
        <v xml:space="preserve">   220290</v>
      </c>
      <c r="B323" t="str">
        <f>T("   BOISSONS NON-ALCOOLIQUES (À L'EXCL. DES EAUX, DES JUS DE FRUITS OU DE LÉGUMES AINSI QUE DU LAIT)")</f>
        <v xml:space="preserve">   BOISSONS NON-ALCOOLIQUES (À L'EXCL. DES EAUX, DES JUS DE FRUITS OU DE LÉGUMES AINSI QUE DU LAIT)</v>
      </c>
      <c r="C323">
        <v>6000000</v>
      </c>
      <c r="D323">
        <v>30060</v>
      </c>
    </row>
    <row r="324" spans="1:4" x14ac:dyDescent="0.25">
      <c r="A324" t="str">
        <f>T("   392340")</f>
        <v xml:space="preserve">   392340</v>
      </c>
      <c r="B324" t="str">
        <f>T("   Bobines, fusettes, canettes et supports simil., en matières plastiques")</f>
        <v xml:space="preserve">   Bobines, fusettes, canettes et supports simil., en matières plastiques</v>
      </c>
      <c r="C324">
        <v>444741</v>
      </c>
      <c r="D324">
        <v>864</v>
      </c>
    </row>
    <row r="325" spans="1:4" x14ac:dyDescent="0.25">
      <c r="A325" t="str">
        <f>T("   401693")</f>
        <v xml:space="preserve">   401693</v>
      </c>
      <c r="B325" t="str">
        <f>T("   Joints en caoutchouc vulcanisé non durci (à l'excl. des articles en caoutchouc alvéolaire)")</f>
        <v xml:space="preserve">   Joints en caoutchouc vulcanisé non durci (à l'excl. des articles en caoutchouc alvéolaire)</v>
      </c>
      <c r="C325">
        <v>9822594</v>
      </c>
      <c r="D325">
        <v>165</v>
      </c>
    </row>
    <row r="326" spans="1:4" x14ac:dyDescent="0.25">
      <c r="A326" t="str">
        <f>T("   401699")</f>
        <v xml:space="preserve">   401699</v>
      </c>
      <c r="B326" t="str">
        <f>T("   OUVRAGES EN CAOUTCHOUC VULCANISÉ NON-DURCI, N.D.A.")</f>
        <v xml:space="preserve">   OUVRAGES EN CAOUTCHOUC VULCANISÉ NON-DURCI, N.D.A.</v>
      </c>
      <c r="C326">
        <v>168982</v>
      </c>
      <c r="D326">
        <v>47</v>
      </c>
    </row>
    <row r="327" spans="1:4" x14ac:dyDescent="0.25">
      <c r="A327" t="str">
        <f>T("   481092")</f>
        <v xml:space="preserve">   481092</v>
      </c>
      <c r="B327" t="s">
        <v>210</v>
      </c>
      <c r="C327">
        <v>41978153</v>
      </c>
      <c r="D327">
        <v>118144</v>
      </c>
    </row>
    <row r="328" spans="1:4" x14ac:dyDescent="0.25">
      <c r="A328" t="str">
        <f>T("   520839")</f>
        <v xml:space="preserve">   520839</v>
      </c>
      <c r="B328" t="str">
        <f>T("   Tissus de coton, teints, contenant &gt;= 85% en poids de coton, d'un poids &lt;= 200 g/m² (à l'excl. des tissus à armure toile ou à armure sergé [y.c. le croisé] d'un rapport d'armure &lt;= 4)")</f>
        <v xml:space="preserve">   Tissus de coton, teints, contenant &gt;= 85% en poids de coton, d'un poids &lt;= 200 g/m² (à l'excl. des tissus à armure toile ou à armure sergé [y.c. le croisé] d'un rapport d'armure &lt;= 4)</v>
      </c>
      <c r="C328">
        <v>3308603</v>
      </c>
      <c r="D328">
        <v>4631</v>
      </c>
    </row>
    <row r="329" spans="1:4" x14ac:dyDescent="0.25">
      <c r="A329" t="str">
        <f>T("   721391")</f>
        <v xml:space="preserve">   721391</v>
      </c>
      <c r="B329"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329">
        <v>88028520</v>
      </c>
      <c r="D329">
        <v>360000</v>
      </c>
    </row>
    <row r="330" spans="1:4" x14ac:dyDescent="0.25">
      <c r="A330" t="str">
        <f>T("   731290")</f>
        <v xml:space="preserve">   731290</v>
      </c>
      <c r="B330" t="str">
        <f>T("   Tresses, élingues et simil., en fer ou en acier (sauf produits isolés pour l'électricité)")</f>
        <v xml:space="preserve">   Tresses, élingues et simil., en fer ou en acier (sauf produits isolés pour l'électricité)</v>
      </c>
      <c r="C330">
        <v>9445063</v>
      </c>
      <c r="D330">
        <v>577</v>
      </c>
    </row>
    <row r="331" spans="1:4" x14ac:dyDescent="0.25">
      <c r="A331" t="str">
        <f>T("   731822")</f>
        <v xml:space="preserve">   731822</v>
      </c>
      <c r="B331" t="str">
        <f>T("   Rondelles en fonte, fer ou acier (sauf rondelles destinées à faire ressort et autres rondelles de blocage)")</f>
        <v xml:space="preserve">   Rondelles en fonte, fer ou acier (sauf rondelles destinées à faire ressort et autres rondelles de blocage)</v>
      </c>
      <c r="C331">
        <v>58492</v>
      </c>
      <c r="D331">
        <v>50</v>
      </c>
    </row>
    <row r="332" spans="1:4" x14ac:dyDescent="0.25">
      <c r="A332" t="str">
        <f>T("   843120")</f>
        <v xml:space="preserve">   843120</v>
      </c>
      <c r="B332" t="str">
        <f>T("   Parties de chariots-gerbeurs et autres chariots de manutention munis d'un dispositif de levage, n.d.a.")</f>
        <v xml:space="preserve">   Parties de chariots-gerbeurs et autres chariots de manutention munis d'un dispositif de levage, n.d.a.</v>
      </c>
      <c r="C332">
        <v>32148133</v>
      </c>
      <c r="D332">
        <v>1041.3</v>
      </c>
    </row>
    <row r="333" spans="1:4" x14ac:dyDescent="0.25">
      <c r="A333" t="str">
        <f>T("   843149")</f>
        <v xml:space="preserve">   843149</v>
      </c>
      <c r="B333" t="str">
        <f>T("   Parties de machines et appareils du n° 8426, 8429 ou 8430, n.d.a.")</f>
        <v xml:space="preserve">   Parties de machines et appareils du n° 8426, 8429 ou 8430, n.d.a.</v>
      </c>
      <c r="C333">
        <v>51253041</v>
      </c>
      <c r="D333">
        <v>2473.5</v>
      </c>
    </row>
    <row r="334" spans="1:4" x14ac:dyDescent="0.25">
      <c r="A334" t="str">
        <f>T("   847330")</f>
        <v xml:space="preserve">   847330</v>
      </c>
      <c r="B334" t="str">
        <f>T("   Parties et accessoires pour machines automatiques de traitement de l'information ou pour autres machines du n° 8471, n.d.a.")</f>
        <v xml:space="preserve">   Parties et accessoires pour machines automatiques de traitement de l'information ou pour autres machines du n° 8471, n.d.a.</v>
      </c>
      <c r="C334">
        <v>2072899</v>
      </c>
      <c r="D334">
        <v>0.7</v>
      </c>
    </row>
    <row r="335" spans="1:4" x14ac:dyDescent="0.25">
      <c r="A335" t="str">
        <f>T("   847960")</f>
        <v xml:space="preserve">   847960</v>
      </c>
      <c r="B335" t="str">
        <f>T("   Appareils mécaniques à évaporation pour le rafraîchissement de l'air, n.d.a.")</f>
        <v xml:space="preserve">   Appareils mécaniques à évaporation pour le rafraîchissement de l'air, n.d.a.</v>
      </c>
      <c r="C335">
        <v>4283065</v>
      </c>
      <c r="D335">
        <v>112</v>
      </c>
    </row>
    <row r="336" spans="1:4" x14ac:dyDescent="0.25">
      <c r="A336" t="str">
        <f>T("   853650")</f>
        <v xml:space="preserve">   853650</v>
      </c>
      <c r="B336" t="str">
        <f>T("   Interrupteurs, sectionneurs et commutateurs, pour une tension &lt;= 1.000 V (autres que relais et disjoncteurs)")</f>
        <v xml:space="preserve">   Interrupteurs, sectionneurs et commutateurs, pour une tension &lt;= 1.000 V (autres que relais et disjoncteurs)</v>
      </c>
      <c r="C336">
        <v>618656</v>
      </c>
      <c r="D336">
        <v>97</v>
      </c>
    </row>
    <row r="337" spans="1:4" x14ac:dyDescent="0.25">
      <c r="A337" t="str">
        <f>T("   870322")</f>
        <v xml:space="preserve">   870322</v>
      </c>
      <c r="B337" t="s">
        <v>480</v>
      </c>
      <c r="C337">
        <v>6060325</v>
      </c>
      <c r="D337">
        <v>5490</v>
      </c>
    </row>
    <row r="338" spans="1:4" x14ac:dyDescent="0.25">
      <c r="A338" t="str">
        <f>T("   902620")</f>
        <v xml:space="preserve">   902620</v>
      </c>
      <c r="B338" t="str">
        <f>T("   Instruments et appareils pour la mesure ou le contrôle de la pression des liquides ou des gaz (à l'excl. des instruments et appareils pour la régulation ou le contrôle automatiques)")</f>
        <v xml:space="preserve">   Instruments et appareils pour la mesure ou le contrôle de la pression des liquides ou des gaz (à l'excl. des instruments et appareils pour la régulation ou le contrôle automatiques)</v>
      </c>
      <c r="C338">
        <v>995282</v>
      </c>
      <c r="D338">
        <v>151</v>
      </c>
    </row>
    <row r="339" spans="1:4" x14ac:dyDescent="0.25">
      <c r="A339" t="str">
        <f>T("AU")</f>
        <v>AU</v>
      </c>
      <c r="B339" t="str">
        <f>T("Australie")</f>
        <v>Australie</v>
      </c>
    </row>
    <row r="340" spans="1:4" x14ac:dyDescent="0.25">
      <c r="A340" t="str">
        <f>T("   ZZ_Total_Produit_SH6")</f>
        <v xml:space="preserve">   ZZ_Total_Produit_SH6</v>
      </c>
      <c r="B340" t="str">
        <f>T("   ZZ_Total_Produit_SH6")</f>
        <v xml:space="preserve">   ZZ_Total_Produit_SH6</v>
      </c>
      <c r="C340">
        <v>412822854</v>
      </c>
      <c r="D340">
        <v>817634.5</v>
      </c>
    </row>
    <row r="341" spans="1:4" x14ac:dyDescent="0.25">
      <c r="A341" t="str">
        <f>T("   271113")</f>
        <v xml:space="preserve">   271113</v>
      </c>
      <c r="B341" t="str">
        <f>T("   Butanes, liquéfiés (à l'excl. des butanes d'une pureté &gt;= 95% en n-butane ou en isobutane)")</f>
        <v xml:space="preserve">   Butanes, liquéfiés (à l'excl. des butanes d'une pureté &gt;= 95% en n-butane ou en isobutane)</v>
      </c>
      <c r="C341">
        <v>259508218</v>
      </c>
      <c r="D341">
        <v>697659</v>
      </c>
    </row>
    <row r="342" spans="1:4" x14ac:dyDescent="0.25">
      <c r="A342" t="str">
        <f>T("   482030")</f>
        <v xml:space="preserve">   482030</v>
      </c>
      <c r="B342" t="str">
        <f>T("   Classeurs, reliures (autres que les couvertures pour livres), chemises et couvertures à dossiers, en papier ou en carton")</f>
        <v xml:space="preserve">   Classeurs, reliures (autres que les couvertures pour livres), chemises et couvertures à dossiers, en papier ou en carton</v>
      </c>
      <c r="C342">
        <v>118073</v>
      </c>
      <c r="D342">
        <v>122</v>
      </c>
    </row>
    <row r="343" spans="1:4" x14ac:dyDescent="0.25">
      <c r="A343" t="str">
        <f>T("   540741")</f>
        <v xml:space="preserve">   540741</v>
      </c>
      <c r="B343" t="str">
        <f>T("   Tissus, écrus ou blanchis, obtenus à partir de fils contenant &gt;= 85% en poids de filaments de nylon ou d'autres polyamides, y.c. les tissus obtenus à partir des monofilaments du n° 5404")</f>
        <v xml:space="preserve">   Tissus, écrus ou blanchis, obtenus à partir de fils contenant &gt;= 85% en poids de filaments de nylon ou d'autres polyamides, y.c. les tissus obtenus à partir des monofilaments du n° 5404</v>
      </c>
      <c r="C343">
        <v>482131</v>
      </c>
      <c r="D343">
        <v>125</v>
      </c>
    </row>
    <row r="344" spans="1:4" x14ac:dyDescent="0.25">
      <c r="A344" t="str">
        <f>T("   630900")</f>
        <v xml:space="preserve">   630900</v>
      </c>
      <c r="B344" t="s">
        <v>278</v>
      </c>
      <c r="C344">
        <v>58853337</v>
      </c>
      <c r="D344">
        <v>117515</v>
      </c>
    </row>
    <row r="345" spans="1:4" x14ac:dyDescent="0.25">
      <c r="A345" t="str">
        <f>T("   640590")</f>
        <v xml:space="preserve">   640590</v>
      </c>
      <c r="B345" t="s">
        <v>289</v>
      </c>
      <c r="C345">
        <v>455893</v>
      </c>
      <c r="D345">
        <v>650</v>
      </c>
    </row>
    <row r="346" spans="1:4" x14ac:dyDescent="0.25">
      <c r="A346" t="str">
        <f>T("   730799")</f>
        <v xml:space="preserve">   730799</v>
      </c>
      <c r="B346" t="str">
        <f>T("   Accessoires de tuyauterie, en fer ou aciers (autres que moulés ou en aciers inoxydables; sauf brides; coudes, courbes et manchons, filetés et sauf accessoires à souder bout à bout)")</f>
        <v xml:space="preserve">   Accessoires de tuyauterie, en fer ou aciers (autres que moulés ou en aciers inoxydables; sauf brides; coudes, courbes et manchons, filetés et sauf accessoires à souder bout à bout)</v>
      </c>
      <c r="C346">
        <v>1056752</v>
      </c>
      <c r="D346">
        <v>20.7</v>
      </c>
    </row>
    <row r="347" spans="1:4" x14ac:dyDescent="0.25">
      <c r="A347" t="str">
        <f>T("   731210")</f>
        <v xml:space="preserve">   731210</v>
      </c>
      <c r="B347" t="str">
        <f>T("   Torons et câbles en fer ou en acier (sauf produits isolés pour l'électricité et sauf fil barbelé pour clôtures et ronces artificielles)")</f>
        <v xml:space="preserve">   Torons et câbles en fer ou en acier (sauf produits isolés pour l'électricité et sauf fil barbelé pour clôtures et ronces artificielles)</v>
      </c>
      <c r="C347">
        <v>6651389</v>
      </c>
      <c r="D347">
        <v>90</v>
      </c>
    </row>
    <row r="348" spans="1:4" x14ac:dyDescent="0.25">
      <c r="A348" t="str">
        <f>T("   840999")</f>
        <v xml:space="preserve">   840999</v>
      </c>
      <c r="B348"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348">
        <v>416535</v>
      </c>
      <c r="D348">
        <v>8</v>
      </c>
    </row>
    <row r="349" spans="1:4" x14ac:dyDescent="0.25">
      <c r="A349" t="str">
        <f>T("   841231")</f>
        <v xml:space="preserve">   841231</v>
      </c>
      <c r="B349" t="str">
        <f>T("   Moteurs pneumatiques, à mouvement rectiligne -cylindres-")</f>
        <v xml:space="preserve">   Moteurs pneumatiques, à mouvement rectiligne -cylindres-</v>
      </c>
      <c r="C349">
        <v>2011829</v>
      </c>
      <c r="D349">
        <v>32.299999999999997</v>
      </c>
    </row>
    <row r="350" spans="1:4" x14ac:dyDescent="0.25">
      <c r="A350" t="str">
        <f>T("   841350")</f>
        <v xml:space="preserve">   841350</v>
      </c>
      <c r="B350" t="s">
        <v>394</v>
      </c>
      <c r="C350">
        <v>678263</v>
      </c>
      <c r="D350">
        <v>2.9</v>
      </c>
    </row>
    <row r="351" spans="1:4" x14ac:dyDescent="0.25">
      <c r="A351" t="str">
        <f>T("   843120")</f>
        <v xml:space="preserve">   843120</v>
      </c>
      <c r="B351" t="str">
        <f>T("   Parties de chariots-gerbeurs et autres chariots de manutention munis d'un dispositif de levage, n.d.a.")</f>
        <v xml:space="preserve">   Parties de chariots-gerbeurs et autres chariots de manutention munis d'un dispositif de levage, n.d.a.</v>
      </c>
      <c r="C351">
        <v>16303108</v>
      </c>
      <c r="D351">
        <v>290.2</v>
      </c>
    </row>
    <row r="352" spans="1:4" x14ac:dyDescent="0.25">
      <c r="A352" t="str">
        <f>T("   843149")</f>
        <v xml:space="preserve">   843149</v>
      </c>
      <c r="B352" t="str">
        <f>T("   Parties de machines et appareils du n° 8426, 8429 ou 8430, n.d.a.")</f>
        <v xml:space="preserve">   Parties de machines et appareils du n° 8426, 8429 ou 8430, n.d.a.</v>
      </c>
      <c r="C352">
        <v>42350498</v>
      </c>
      <c r="D352">
        <v>652.20000000000005</v>
      </c>
    </row>
    <row r="353" spans="1:4" x14ac:dyDescent="0.25">
      <c r="A353" t="str">
        <f>T("   848180")</f>
        <v xml:space="preserve">   848180</v>
      </c>
      <c r="B353"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353">
        <v>331260</v>
      </c>
      <c r="D353">
        <v>6</v>
      </c>
    </row>
    <row r="354" spans="1:4" x14ac:dyDescent="0.25">
      <c r="A354" t="str">
        <f>T("   848280")</f>
        <v xml:space="preserve">   848280</v>
      </c>
      <c r="B354" t="s">
        <v>447</v>
      </c>
      <c r="C354">
        <v>7374958</v>
      </c>
      <c r="D354">
        <v>203</v>
      </c>
    </row>
    <row r="355" spans="1:4" x14ac:dyDescent="0.25">
      <c r="A355" t="str">
        <f>T("   848490")</f>
        <v xml:space="preserve">   848490</v>
      </c>
      <c r="B355" t="str">
        <f>T("   Jeux ou assortiments de joints de composition différente présentés en pochettes, enveloppes ou emballages analogues")</f>
        <v xml:space="preserve">   Jeux ou assortiments de joints de composition différente présentés en pochettes, enveloppes ou emballages analogues</v>
      </c>
      <c r="C355">
        <v>213843</v>
      </c>
      <c r="D355">
        <v>6</v>
      </c>
    </row>
    <row r="356" spans="1:4" x14ac:dyDescent="0.25">
      <c r="A356" t="str">
        <f>T("   851829")</f>
        <v xml:space="preserve">   851829</v>
      </c>
      <c r="B356" t="str">
        <f>T("   Haut-parleurs sans enceinte")</f>
        <v xml:space="preserve">   Haut-parleurs sans enceinte</v>
      </c>
      <c r="C356">
        <v>839019</v>
      </c>
      <c r="D356">
        <v>5</v>
      </c>
    </row>
    <row r="357" spans="1:4" x14ac:dyDescent="0.25">
      <c r="A357" t="str">
        <f>T("   852721")</f>
        <v xml:space="preserve">   852721</v>
      </c>
      <c r="B357" t="str">
        <f>T("   RÉCEPTEURS DE RADIODIFFUSION NE POUVANT FONCTIONNER QU'AVEC UNE SOURCE D'ÉNERGIE EXTÉRIEURE, POUR VÉHICULES AUTOMOBILES, COMBINÉS À UN APPAREIL D'ENREGISTREMENT OU DE REPRODUCTION DU SON")</f>
        <v xml:space="preserve">   RÉCEPTEURS DE RADIODIFFUSION NE POUVANT FONCTIONNER QU'AVEC UNE SOURCE D'ÉNERGIE EXTÉRIEURE, POUR VÉHICULES AUTOMOBILES, COMBINÉS À UN APPAREIL D'ENREGISTREMENT OU DE REPRODUCTION DU SON</v>
      </c>
      <c r="C357">
        <v>449903</v>
      </c>
      <c r="D357">
        <v>2</v>
      </c>
    </row>
    <row r="358" spans="1:4" x14ac:dyDescent="0.25">
      <c r="A358" t="str">
        <f>T("   853649")</f>
        <v xml:space="preserve">   853649</v>
      </c>
      <c r="B358" t="str">
        <f>T("   Relais, pour une tension &gt; 60 V mais &lt;= 1.000 V")</f>
        <v xml:space="preserve">   Relais, pour une tension &gt; 60 V mais &lt;= 1.000 V</v>
      </c>
      <c r="C358">
        <v>12741198</v>
      </c>
      <c r="D358">
        <v>190</v>
      </c>
    </row>
    <row r="359" spans="1:4" x14ac:dyDescent="0.25">
      <c r="A359" t="str">
        <f>T("   853650")</f>
        <v xml:space="preserve">   853650</v>
      </c>
      <c r="B359" t="str">
        <f>T("   Interrupteurs, sectionneurs et commutateurs, pour une tension &lt;= 1.000 V (autres que relais et disjoncteurs)")</f>
        <v xml:space="preserve">   Interrupteurs, sectionneurs et commutateurs, pour une tension &lt;= 1.000 V (autres que relais et disjoncteurs)</v>
      </c>
      <c r="C359">
        <v>572948</v>
      </c>
      <c r="D359">
        <v>10.199999999999999</v>
      </c>
    </row>
    <row r="360" spans="1:4" x14ac:dyDescent="0.25">
      <c r="A360" t="str">
        <f>T("   854449")</f>
        <v xml:space="preserve">   854449</v>
      </c>
      <c r="B360" t="str">
        <f>T("   CONDUCTEURS ÉLECTRIQUES, POUR TENSION &lt;= 1.000 V, ISOLÉS, SANS PIÈCES DE CONNEXION, N.D.A.")</f>
        <v xml:space="preserve">   CONDUCTEURS ÉLECTRIQUES, POUR TENSION &lt;= 1.000 V, ISOLÉS, SANS PIÈCES DE CONNEXION, N.D.A.</v>
      </c>
      <c r="C360">
        <v>1009628</v>
      </c>
      <c r="D360">
        <v>30</v>
      </c>
    </row>
    <row r="361" spans="1:4" x14ac:dyDescent="0.25">
      <c r="A361" t="str">
        <f>T("   950430")</f>
        <v xml:space="preserve">   950430</v>
      </c>
      <c r="B361" t="s">
        <v>515</v>
      </c>
      <c r="C361">
        <v>390952</v>
      </c>
      <c r="D361">
        <v>2</v>
      </c>
    </row>
    <row r="362" spans="1:4" x14ac:dyDescent="0.25">
      <c r="A362" t="str">
        <f>T("   960839")</f>
        <v xml:space="preserve">   960839</v>
      </c>
      <c r="B362" t="str">
        <f>T("   Stylos à plume et autres stylos (autres qu'à dessiner à l'encre de Chine)")</f>
        <v xml:space="preserve">   Stylos à plume et autres stylos (autres qu'à dessiner à l'encre de Chine)</v>
      </c>
      <c r="C362">
        <v>13119</v>
      </c>
      <c r="D362">
        <v>13</v>
      </c>
    </row>
    <row r="363" spans="1:4" x14ac:dyDescent="0.25">
      <c r="A363" t="str">
        <f>T("BA")</f>
        <v>BA</v>
      </c>
      <c r="B363" t="str">
        <f>T("Bosnie Herzégovine")</f>
        <v>Bosnie Herzégovine</v>
      </c>
    </row>
    <row r="364" spans="1:4" x14ac:dyDescent="0.25">
      <c r="A364" t="str">
        <f>T("   ZZ_Total_Produit_SH6")</f>
        <v xml:space="preserve">   ZZ_Total_Produit_SH6</v>
      </c>
      <c r="B364" t="str">
        <f>T("   ZZ_Total_Produit_SH6")</f>
        <v xml:space="preserve">   ZZ_Total_Produit_SH6</v>
      </c>
      <c r="C364">
        <v>6624593</v>
      </c>
      <c r="D364">
        <v>200</v>
      </c>
    </row>
    <row r="365" spans="1:4" x14ac:dyDescent="0.25">
      <c r="A365" t="str">
        <f>T("   382200")</f>
        <v xml:space="preserve">   382200</v>
      </c>
      <c r="B365" t="s">
        <v>126</v>
      </c>
      <c r="C365">
        <v>6624593</v>
      </c>
      <c r="D365">
        <v>200</v>
      </c>
    </row>
    <row r="366" spans="1:4" x14ac:dyDescent="0.25">
      <c r="A366" t="str">
        <f>T("BD")</f>
        <v>BD</v>
      </c>
      <c r="B366" t="str">
        <f>T("Bangladesh")</f>
        <v>Bangladesh</v>
      </c>
    </row>
    <row r="367" spans="1:4" x14ac:dyDescent="0.25">
      <c r="A367" t="str">
        <f>T("   ZZ_Total_Produit_SH6")</f>
        <v xml:space="preserve">   ZZ_Total_Produit_SH6</v>
      </c>
      <c r="B367" t="str">
        <f>T("   ZZ_Total_Produit_SH6")</f>
        <v xml:space="preserve">   ZZ_Total_Produit_SH6</v>
      </c>
      <c r="C367">
        <v>77924407</v>
      </c>
      <c r="D367">
        <v>341009</v>
      </c>
    </row>
    <row r="368" spans="1:4" x14ac:dyDescent="0.25">
      <c r="A368" t="str">
        <f>T("   200919")</f>
        <v xml:space="preserve">   200919</v>
      </c>
      <c r="B368" t="str">
        <f>T("   JUS D'ORANGE, NON-FERMENTÉS, SANS ADDITION D'ALCOOL, AVEC OU SANS ADDITION DE SUCRE OU D'AUTRES ÉDULCORANTS (À L'EXCL. DES JUS CONGELÉS ET DES JUS D'UNE VALEUR BRIX &lt;= 20 À 20°C)")</f>
        <v xml:space="preserve">   JUS D'ORANGE, NON-FERMENTÉS, SANS ADDITION D'ALCOOL, AVEC OU SANS ADDITION DE SUCRE OU D'AUTRES ÉDULCORANTS (À L'EXCL. DES JUS CONGELÉS ET DES JUS D'UNE VALEUR BRIX &lt;= 20 À 20°C)</v>
      </c>
      <c r="C368">
        <v>2878497</v>
      </c>
      <c r="D368">
        <v>10600</v>
      </c>
    </row>
    <row r="369" spans="1:4" x14ac:dyDescent="0.25">
      <c r="A369" t="str">
        <f>T("   200949")</f>
        <v xml:space="preserve">   200949</v>
      </c>
      <c r="B369" t="str">
        <f>T("   JUS D'ANANAS, NON-FERMENTÉS, SANS ADDITION D'ALCOOL, AVEC OU SANS ADDITION DE SUCRE OU D'AUTRES ÉDULCORANTS, D'UNE VALEUR BRIX &gt; 20 À 20°C")</f>
        <v xml:space="preserve">   JUS D'ANANAS, NON-FERMENTÉS, SANS ADDITION D'ALCOOL, AVEC OU SANS ADDITION DE SUCRE OU D'AUTRES ÉDULCORANTS, D'UNE VALEUR BRIX &gt; 20 À 20°C</v>
      </c>
      <c r="C369">
        <v>15217603</v>
      </c>
      <c r="D369">
        <v>56453</v>
      </c>
    </row>
    <row r="370" spans="1:4" x14ac:dyDescent="0.25">
      <c r="A370" t="str">
        <f>T("   200980")</f>
        <v xml:space="preserve">   200980</v>
      </c>
      <c r="B370"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370">
        <v>12673327</v>
      </c>
      <c r="D370">
        <v>47100</v>
      </c>
    </row>
    <row r="371" spans="1:4" x14ac:dyDescent="0.25">
      <c r="A371" t="str">
        <f>T("   200990")</f>
        <v xml:space="preserve">   200990</v>
      </c>
      <c r="B371"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371">
        <v>4386053</v>
      </c>
      <c r="D371">
        <v>14900</v>
      </c>
    </row>
    <row r="372" spans="1:4" x14ac:dyDescent="0.25">
      <c r="A372" t="str">
        <f>T("   420299")</f>
        <v xml:space="preserve">   420299</v>
      </c>
      <c r="B372" t="s">
        <v>165</v>
      </c>
      <c r="C372">
        <v>15000601</v>
      </c>
      <c r="D372">
        <v>109296</v>
      </c>
    </row>
    <row r="373" spans="1:4" x14ac:dyDescent="0.25">
      <c r="A373" t="str">
        <f>T("   620349")</f>
        <v xml:space="preserve">   620349</v>
      </c>
      <c r="B373" t="s">
        <v>266</v>
      </c>
      <c r="C373">
        <v>7259276</v>
      </c>
      <c r="D373">
        <v>4700</v>
      </c>
    </row>
    <row r="374" spans="1:4" x14ac:dyDescent="0.25">
      <c r="A374" t="str">
        <f>T("   630510")</f>
        <v xml:space="preserve">   630510</v>
      </c>
      <c r="B374" t="str">
        <f>T("   Sacs et sachets d'emballage de jute ou d'autres fibres textiles libériennes du n° 5303")</f>
        <v xml:space="preserve">   Sacs et sachets d'emballage de jute ou d'autres fibres textiles libériennes du n° 5303</v>
      </c>
      <c r="C374">
        <v>20509050</v>
      </c>
      <c r="D374">
        <v>97960</v>
      </c>
    </row>
    <row r="375" spans="1:4" x14ac:dyDescent="0.25">
      <c r="A375" t="str">
        <f>T("BE")</f>
        <v>BE</v>
      </c>
      <c r="B375" t="str">
        <f>T("Belgique")</f>
        <v>Belgique</v>
      </c>
    </row>
    <row r="376" spans="1:4" x14ac:dyDescent="0.25">
      <c r="A376" t="str">
        <f>T("   ZZ_Total_Produit_SH6")</f>
        <v xml:space="preserve">   ZZ_Total_Produit_SH6</v>
      </c>
      <c r="B376" t="str">
        <f>T("   ZZ_Total_Produit_SH6")</f>
        <v xml:space="preserve">   ZZ_Total_Produit_SH6</v>
      </c>
      <c r="C376">
        <v>42237238566.878998</v>
      </c>
      <c r="D376">
        <v>86250154.25</v>
      </c>
    </row>
    <row r="377" spans="1:4" x14ac:dyDescent="0.25">
      <c r="A377" t="str">
        <f>T("   010511")</f>
        <v xml:space="preserve">   010511</v>
      </c>
      <c r="B377" t="str">
        <f>T("   Coqs et poules [des espèces domestiques], vivants, d'un poids &lt;= 185 g")</f>
        <v xml:space="preserve">   Coqs et poules [des espèces domestiques], vivants, d'un poids &lt;= 185 g</v>
      </c>
      <c r="C377">
        <v>4231732</v>
      </c>
      <c r="D377">
        <v>1186</v>
      </c>
    </row>
    <row r="378" spans="1:4" x14ac:dyDescent="0.25">
      <c r="A378" t="str">
        <f>T("   020712")</f>
        <v xml:space="preserve">   020712</v>
      </c>
      <c r="B378" t="str">
        <f>T("   COQS ET POULES [DES ESPÈCES DOMESTIQUES], NON-DÉCOUPÉS EN MORCEAUX, CONGELÉS")</f>
        <v xml:space="preserve">   COQS ET POULES [DES ESPÈCES DOMESTIQUES], NON-DÉCOUPÉS EN MORCEAUX, CONGELÉS</v>
      </c>
      <c r="C378">
        <v>297155504</v>
      </c>
      <c r="D378">
        <v>503898</v>
      </c>
    </row>
    <row r="379" spans="1:4" x14ac:dyDescent="0.25">
      <c r="A379" t="str">
        <f>T("   020714")</f>
        <v xml:space="preserve">   020714</v>
      </c>
      <c r="B379" t="str">
        <f>T("   Morceaux et abats comestibles de coqs et de poules [des espèces domestiques], congelés")</f>
        <v xml:space="preserve">   Morceaux et abats comestibles de coqs et de poules [des espèces domestiques], congelés</v>
      </c>
      <c r="C379">
        <v>1521362358</v>
      </c>
      <c r="D379">
        <v>2568084</v>
      </c>
    </row>
    <row r="380" spans="1:4" x14ac:dyDescent="0.25">
      <c r="A380" t="str">
        <f>T("   020726")</f>
        <v xml:space="preserve">   020726</v>
      </c>
      <c r="B380" t="str">
        <f>T("   Morceaux et abats comestibles de dindes et dindons [des espèces domestiques], frais ou réfrigérés")</f>
        <v xml:space="preserve">   Morceaux et abats comestibles de dindes et dindons [des espèces domestiques], frais ou réfrigérés</v>
      </c>
      <c r="C380">
        <v>15000493</v>
      </c>
      <c r="D380">
        <v>25000</v>
      </c>
    </row>
    <row r="381" spans="1:4" x14ac:dyDescent="0.25">
      <c r="A381" t="str">
        <f>T("   020727")</f>
        <v xml:space="preserve">   020727</v>
      </c>
      <c r="B381" t="str">
        <f>T("   Morceaux et abats comestibles de dindes et dindons [des espèces domestiques], congelés")</f>
        <v xml:space="preserve">   Morceaux et abats comestibles de dindes et dindons [des espèces domestiques], congelés</v>
      </c>
      <c r="C381">
        <v>1218936630</v>
      </c>
      <c r="D381">
        <v>2030159</v>
      </c>
    </row>
    <row r="382" spans="1:4" x14ac:dyDescent="0.25">
      <c r="A382" t="str">
        <f>T("   020736")</f>
        <v xml:space="preserve">   020736</v>
      </c>
      <c r="B382" t="str">
        <f>T("   Morceaux et abats comestibles de canards, d'oies ou de pintades [des espèces domestiques], congelés (à l'excl. des foies gras)")</f>
        <v xml:space="preserve">   Morceaux et abats comestibles de canards, d'oies ou de pintades [des espèces domestiques], congelés (à l'excl. des foies gras)</v>
      </c>
      <c r="C382">
        <v>28822884</v>
      </c>
      <c r="D382">
        <v>106400</v>
      </c>
    </row>
    <row r="383" spans="1:4" x14ac:dyDescent="0.25">
      <c r="A383" t="str">
        <f>T("   030379")</f>
        <v xml:space="preserve">   030379</v>
      </c>
      <c r="B383" t="s">
        <v>17</v>
      </c>
      <c r="C383">
        <v>859874349</v>
      </c>
      <c r="D383">
        <v>4913473</v>
      </c>
    </row>
    <row r="384" spans="1:4" x14ac:dyDescent="0.25">
      <c r="A384" t="str">
        <f>T("   040110")</f>
        <v xml:space="preserve">   040110</v>
      </c>
      <c r="B384" t="str">
        <f>T("   LAIT ET CRÈME DE LAIT, NON-CONCENTRÉS NI ADDITIONNÉS DE SUCRE OU D'AUTRES ÉDULCORANTS, D'UNE TENEUR EN POIDS DE MATIÈRES GRASSES &lt;= 1%")</f>
        <v xml:space="preserve">   LAIT ET CRÈME DE LAIT, NON-CONCENTRÉS NI ADDITIONNÉS DE SUCRE OU D'AUTRES ÉDULCORANTS, D'UNE TENEUR EN POIDS DE MATIÈRES GRASSES &lt;= 1%</v>
      </c>
      <c r="C384">
        <v>3603819</v>
      </c>
      <c r="D384">
        <v>11966</v>
      </c>
    </row>
    <row r="385" spans="1:4" x14ac:dyDescent="0.25">
      <c r="A385" t="str">
        <f>T("   040120")</f>
        <v xml:space="preserve">   040120</v>
      </c>
      <c r="B385" t="str">
        <f>T("   LAIT ET CRÈME DE LAIT, NON-CONCENTRÉS NI ADDITIONNÉS DE SUCRE OU D'AUTRES ÉDULCORANTS, D'UNE TENEUR EN POIDS DE MATIÈRES GRASSES &gt; 1% MAIS &lt;= 6%")</f>
        <v xml:space="preserve">   LAIT ET CRÈME DE LAIT, NON-CONCENTRÉS NI ADDITIONNÉS DE SUCRE OU D'AUTRES ÉDULCORANTS, D'UNE TENEUR EN POIDS DE MATIÈRES GRASSES &gt; 1% MAIS &lt;= 6%</v>
      </c>
      <c r="C385">
        <v>20854294</v>
      </c>
      <c r="D385">
        <v>60353</v>
      </c>
    </row>
    <row r="386" spans="1:4" x14ac:dyDescent="0.25">
      <c r="A386" t="str">
        <f>T("   040221")</f>
        <v xml:space="preserve">   040221</v>
      </c>
      <c r="B386" t="str">
        <f>T("   Lait et crème de lait, en poudre, en granulés ou sous d'autres formes solides, d'une teneur en poids de matières grasses &gt; 1,5%, sans addition de sucre ou d'autres édulcorants")</f>
        <v xml:space="preserve">   Lait et crème de lait, en poudre, en granulés ou sous d'autres formes solides, d'une teneur en poids de matières grasses &gt; 1,5%, sans addition de sucre ou d'autres édulcorants</v>
      </c>
      <c r="C386">
        <v>562260599</v>
      </c>
      <c r="D386">
        <v>315951</v>
      </c>
    </row>
    <row r="387" spans="1:4" x14ac:dyDescent="0.25">
      <c r="A387" t="str">
        <f>T("   040229")</f>
        <v xml:space="preserve">   040229</v>
      </c>
      <c r="B387" t="str">
        <f>T("   Lait et crème de lait, en poudre, en granulés ou sous d'autres formes solides, d'une teneur en poids de matières grasses &gt; 1,5%, avec addition de sucre ou d'autres édulcorants")</f>
        <v xml:space="preserve">   Lait et crème de lait, en poudre, en granulés ou sous d'autres formes solides, d'une teneur en poids de matières grasses &gt; 1,5%, avec addition de sucre ou d'autres édulcorants</v>
      </c>
      <c r="C387">
        <v>286656516</v>
      </c>
      <c r="D387">
        <v>180576</v>
      </c>
    </row>
    <row r="388" spans="1:4" x14ac:dyDescent="0.25">
      <c r="A388" t="str">
        <f>T("   040510")</f>
        <v xml:space="preserve">   040510</v>
      </c>
      <c r="B388" t="str">
        <f>T("   Beurre (sauf beurre déshydraté et ghee)")</f>
        <v xml:space="preserve">   Beurre (sauf beurre déshydraté et ghee)</v>
      </c>
      <c r="C388">
        <v>31563755</v>
      </c>
      <c r="D388">
        <v>47750</v>
      </c>
    </row>
    <row r="389" spans="1:4" x14ac:dyDescent="0.25">
      <c r="A389" t="str">
        <f>T("   070190")</f>
        <v xml:space="preserve">   070190</v>
      </c>
      <c r="B389" t="str">
        <f>T("   Pommes de terre, à l'état frais ou réfrigéré (à l'excl. des pommes de terre de semence)")</f>
        <v xml:space="preserve">   Pommes de terre, à l'état frais ou réfrigéré (à l'excl. des pommes de terre de semence)</v>
      </c>
      <c r="C389">
        <v>50866003</v>
      </c>
      <c r="D389">
        <v>283100</v>
      </c>
    </row>
    <row r="390" spans="1:4" x14ac:dyDescent="0.25">
      <c r="A390" t="str">
        <f>T("   071010")</f>
        <v xml:space="preserve">   071010</v>
      </c>
      <c r="B390" t="str">
        <f>T("   Pommes de terre, non cuites ou cuites à l'eau ou à la vapeur, congelées")</f>
        <v xml:space="preserve">   Pommes de terre, non cuites ou cuites à l'eau ou à la vapeur, congelées</v>
      </c>
      <c r="C390">
        <v>9281178</v>
      </c>
      <c r="D390">
        <v>25200</v>
      </c>
    </row>
    <row r="391" spans="1:4" x14ac:dyDescent="0.25">
      <c r="A391" t="str">
        <f>T("   071029")</f>
        <v xml:space="preserve">   071029</v>
      </c>
      <c r="B391" t="str">
        <f>T("   Légumes à cosse, écossés ou non, non cuits ou cuits à l'eau ou à la vapeur, congelés (à l'excl. des pois 'Pisum sativum' et des haricots 'Vigna spp., Phaseolus spp.')")</f>
        <v xml:space="preserve">   Légumes à cosse, écossés ou non, non cuits ou cuits à l'eau ou à la vapeur, congelés (à l'excl. des pois 'Pisum sativum' et des haricots 'Vigna spp., Phaseolus spp.')</v>
      </c>
      <c r="C391">
        <v>26370</v>
      </c>
      <c r="D391">
        <v>103.81</v>
      </c>
    </row>
    <row r="392" spans="1:4" x14ac:dyDescent="0.25">
      <c r="A392" t="str">
        <f>T("   080610")</f>
        <v xml:space="preserve">   080610</v>
      </c>
      <c r="B392" t="str">
        <f>T("   Raisins, frais")</f>
        <v xml:space="preserve">   Raisins, frais</v>
      </c>
      <c r="C392">
        <v>1460000</v>
      </c>
      <c r="D392">
        <v>2400</v>
      </c>
    </row>
    <row r="393" spans="1:4" x14ac:dyDescent="0.25">
      <c r="A393" t="str">
        <f>T("   090230")</f>
        <v xml:space="preserve">   090230</v>
      </c>
      <c r="B393" t="s">
        <v>25</v>
      </c>
      <c r="C393">
        <v>2072834</v>
      </c>
      <c r="D393">
        <v>1374</v>
      </c>
    </row>
    <row r="394" spans="1:4" x14ac:dyDescent="0.25">
      <c r="A394" t="str">
        <f>T("   091040")</f>
        <v xml:space="preserve">   091040</v>
      </c>
      <c r="B394" t="str">
        <f>T("   Thym et feuilles de laurier")</f>
        <v xml:space="preserve">   Thym et feuilles de laurier</v>
      </c>
      <c r="C394">
        <v>1223366</v>
      </c>
      <c r="D394">
        <v>1393</v>
      </c>
    </row>
    <row r="395" spans="1:4" x14ac:dyDescent="0.25">
      <c r="A395" t="str">
        <f>T("   091050")</f>
        <v xml:space="preserve">   091050</v>
      </c>
      <c r="B395" t="str">
        <f>T("   Curry")</f>
        <v xml:space="preserve">   Curry</v>
      </c>
      <c r="C395">
        <v>790597</v>
      </c>
      <c r="D395">
        <v>910</v>
      </c>
    </row>
    <row r="396" spans="1:4" x14ac:dyDescent="0.25">
      <c r="A396" t="str">
        <f>T("   091099")</f>
        <v xml:space="preserve">   091099</v>
      </c>
      <c r="B396" t="s">
        <v>27</v>
      </c>
      <c r="C396">
        <v>4982016</v>
      </c>
      <c r="D396">
        <v>6577</v>
      </c>
    </row>
    <row r="397" spans="1:4" x14ac:dyDescent="0.25">
      <c r="A397" t="str">
        <f>T("   100630")</f>
        <v xml:space="preserve">   100630</v>
      </c>
      <c r="B397" t="str">
        <f>T("   Riz semi-blanchi ou blanchi, même poli ou glacé")</f>
        <v xml:space="preserve">   Riz semi-blanchi ou blanchi, même poli ou glacé</v>
      </c>
      <c r="C397">
        <v>4514973</v>
      </c>
      <c r="D397">
        <v>4574</v>
      </c>
    </row>
    <row r="398" spans="1:4" x14ac:dyDescent="0.25">
      <c r="A398" t="str">
        <f>T("   110100")</f>
        <v xml:space="preserve">   110100</v>
      </c>
      <c r="B398" t="str">
        <f>T("   Farines de froment [blé] ou de méteil")</f>
        <v xml:space="preserve">   Farines de froment [blé] ou de méteil</v>
      </c>
      <c r="C398">
        <v>80731610.230000004</v>
      </c>
      <c r="D398">
        <v>285451</v>
      </c>
    </row>
    <row r="399" spans="1:4" x14ac:dyDescent="0.25">
      <c r="A399" t="str">
        <f>T("   110220")</f>
        <v xml:space="preserve">   110220</v>
      </c>
      <c r="B399" t="str">
        <f>T("   Farine de maïs")</f>
        <v xml:space="preserve">   Farine de maïs</v>
      </c>
      <c r="C399">
        <v>2886223</v>
      </c>
      <c r="D399">
        <v>22060</v>
      </c>
    </row>
    <row r="400" spans="1:4" x14ac:dyDescent="0.25">
      <c r="A400" t="str">
        <f>T("   110710")</f>
        <v xml:space="preserve">   110710</v>
      </c>
      <c r="B400" t="str">
        <f>T("   MALT, NON-TORRÉFIÉ")</f>
        <v xml:space="preserve">   MALT, NON-TORRÉFIÉ</v>
      </c>
      <c r="C400">
        <v>2088856063</v>
      </c>
      <c r="D400">
        <v>4728793</v>
      </c>
    </row>
    <row r="401" spans="1:4" x14ac:dyDescent="0.25">
      <c r="A401" t="str">
        <f>T("   151519")</f>
        <v xml:space="preserve">   151519</v>
      </c>
      <c r="B401" t="str">
        <f>T("   Huile de lin et ses fractions, même raffinées, mais non chimiquement modifiées (à l'excl. de l'huile brute)")</f>
        <v xml:space="preserve">   Huile de lin et ses fractions, même raffinées, mais non chimiquement modifiées (à l'excl. de l'huile brute)</v>
      </c>
      <c r="C401">
        <v>1365709</v>
      </c>
      <c r="D401">
        <v>610</v>
      </c>
    </row>
    <row r="402" spans="1:4" x14ac:dyDescent="0.25">
      <c r="A402" t="str">
        <f>T("   151620")</f>
        <v xml:space="preserve">   151620</v>
      </c>
      <c r="B402"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402">
        <v>17600000</v>
      </c>
      <c r="D402">
        <v>72651</v>
      </c>
    </row>
    <row r="403" spans="1:4" x14ac:dyDescent="0.25">
      <c r="A403" t="str">
        <f>T("   151710")</f>
        <v xml:space="preserve">   151710</v>
      </c>
      <c r="B403" t="str">
        <f>T("   Margarine (à l'excl. de la margarine liquide)")</f>
        <v xml:space="preserve">   Margarine (à l'excl. de la margarine liquide)</v>
      </c>
      <c r="C403">
        <v>8527480</v>
      </c>
      <c r="D403">
        <v>20000</v>
      </c>
    </row>
    <row r="404" spans="1:4" x14ac:dyDescent="0.25">
      <c r="A404" t="str">
        <f>T("   160239")</f>
        <v xml:space="preserve">   160239</v>
      </c>
      <c r="B404" t="s">
        <v>40</v>
      </c>
      <c r="C404">
        <v>2624495</v>
      </c>
      <c r="D404">
        <v>4253</v>
      </c>
    </row>
    <row r="405" spans="1:4" x14ac:dyDescent="0.25">
      <c r="A405" t="str">
        <f>T("   160411")</f>
        <v xml:space="preserve">   160411</v>
      </c>
      <c r="B405" t="str">
        <f>T("   Préparations et conserves de saumons entiers ou en morceaux (à l'excl. des préparations et conserves de saumons hachés)")</f>
        <v xml:space="preserve">   Préparations et conserves de saumons entiers ou en morceaux (à l'excl. des préparations et conserves de saumons hachés)</v>
      </c>
      <c r="C405">
        <v>684166</v>
      </c>
      <c r="D405">
        <v>877</v>
      </c>
    </row>
    <row r="406" spans="1:4" x14ac:dyDescent="0.25">
      <c r="A406" t="str">
        <f>T("   170191")</f>
        <v xml:space="preserve">   170191</v>
      </c>
      <c r="B406" t="str">
        <f>T("   Sucres de canne ou de betterave, à l'état solide, additionnés d'aromatisants ou de colorants")</f>
        <v xml:space="preserve">   Sucres de canne ou de betterave, à l'état solide, additionnés d'aromatisants ou de colorants</v>
      </c>
      <c r="C406">
        <v>211448825.00999999</v>
      </c>
      <c r="D406">
        <v>1003777</v>
      </c>
    </row>
    <row r="407" spans="1:4" x14ac:dyDescent="0.25">
      <c r="A407" t="str">
        <f>T("   170199")</f>
        <v xml:space="preserve">   170199</v>
      </c>
      <c r="B407"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407">
        <v>106385423.64</v>
      </c>
      <c r="D407">
        <v>483000</v>
      </c>
    </row>
    <row r="408" spans="1:4" x14ac:dyDescent="0.25">
      <c r="A408" t="str">
        <f>T("   170490")</f>
        <v xml:space="preserve">   170490</v>
      </c>
      <c r="B408" t="str">
        <f>T("   Sucreries sans cacao, y.c. le chocolat blanc (à l'excl. des gommes à mâcher)")</f>
        <v xml:space="preserve">   Sucreries sans cacao, y.c. le chocolat blanc (à l'excl. des gommes à mâcher)</v>
      </c>
      <c r="C408">
        <v>3747984</v>
      </c>
      <c r="D408">
        <v>7099</v>
      </c>
    </row>
    <row r="409" spans="1:4" x14ac:dyDescent="0.25">
      <c r="A409" t="str">
        <f>T("   180631")</f>
        <v xml:space="preserve">   180631</v>
      </c>
      <c r="B409" t="str">
        <f>T("   Chocolat et autres préparations alimentaires contenant du cacao, présentés en tablettes, barres ou bâtons, d'un poids &lt;= 2 kg, fourrés")</f>
        <v xml:space="preserve">   Chocolat et autres préparations alimentaires contenant du cacao, présentés en tablettes, barres ou bâtons, d'un poids &lt;= 2 kg, fourrés</v>
      </c>
      <c r="C409">
        <v>2543432</v>
      </c>
      <c r="D409">
        <v>8103</v>
      </c>
    </row>
    <row r="410" spans="1:4" x14ac:dyDescent="0.25">
      <c r="A410" t="str">
        <f>T("   180632")</f>
        <v xml:space="preserve">   180632</v>
      </c>
      <c r="B410" t="str">
        <f>T("   CHOCOLAT ET AUTRES PRÉPARATIONS ALIMENTAIRES CONTENANT DU CACAO, PRÉSENTÉS EN TABLETTES, BARRES OU BÂTONS, D'UN POIDS &lt;= 2 KG, NON-FOURRÉS")</f>
        <v xml:space="preserve">   CHOCOLAT ET AUTRES PRÉPARATIONS ALIMENTAIRES CONTENANT DU CACAO, PRÉSENTÉS EN TABLETTES, BARRES OU BÂTONS, D'UN POIDS &lt;= 2 KG, NON-FOURRÉS</v>
      </c>
      <c r="C410">
        <v>5319946</v>
      </c>
      <c r="D410">
        <v>7151</v>
      </c>
    </row>
    <row r="411" spans="1:4" x14ac:dyDescent="0.25">
      <c r="A411" t="str">
        <f>T("   180690")</f>
        <v xml:space="preserve">   180690</v>
      </c>
      <c r="B411" t="str">
        <f>T("   Chocolat et autres préparations alimentaires contenant du cacao, en récipients ou en emballages immédiats d'un contenu &lt;= 2 kg (à l'excl. de la poudre de cacao et des produits présentés en tablettes, barres ou bâtons)")</f>
        <v xml:space="preserve">   Chocolat et autres préparations alimentaires contenant du cacao, en récipients ou en emballages immédiats d'un contenu &lt;= 2 kg (à l'excl. de la poudre de cacao et des produits présentés en tablettes, barres ou bâtons)</v>
      </c>
      <c r="C411">
        <v>5520559</v>
      </c>
      <c r="D411">
        <v>8543</v>
      </c>
    </row>
    <row r="412" spans="1:4" x14ac:dyDescent="0.25">
      <c r="A412" t="str">
        <f>T("   190110")</f>
        <v xml:space="preserve">   190110</v>
      </c>
      <c r="B412" t="s">
        <v>47</v>
      </c>
      <c r="C412">
        <v>8343812</v>
      </c>
      <c r="D412">
        <v>8269</v>
      </c>
    </row>
    <row r="413" spans="1:4" x14ac:dyDescent="0.25">
      <c r="A413" t="str">
        <f>T("   190120")</f>
        <v xml:space="preserve">   190120</v>
      </c>
      <c r="B413" t="s">
        <v>48</v>
      </c>
      <c r="C413">
        <v>450000</v>
      </c>
      <c r="D413">
        <v>439</v>
      </c>
    </row>
    <row r="414" spans="1:4" x14ac:dyDescent="0.25">
      <c r="A414" t="str">
        <f>T("   190190")</f>
        <v xml:space="preserve">   190190</v>
      </c>
      <c r="B414" t="s">
        <v>49</v>
      </c>
      <c r="C414">
        <v>8594393</v>
      </c>
      <c r="D414">
        <v>13096</v>
      </c>
    </row>
    <row r="415" spans="1:4" x14ac:dyDescent="0.25">
      <c r="A415" t="str">
        <f>T("   190219")</f>
        <v xml:space="preserve">   190219</v>
      </c>
      <c r="B415" t="str">
        <f>T("   PÂTES ALIMENTAIRES NON-CUITES NI FARCIES NI AUTREMENT PRÉPARÉES, NE CONTENANT PAS D'OEUFS")</f>
        <v xml:space="preserve">   PÂTES ALIMENTAIRES NON-CUITES NI FARCIES NI AUTREMENT PRÉPARÉES, NE CONTENANT PAS D'OEUFS</v>
      </c>
      <c r="C415">
        <v>8438700</v>
      </c>
      <c r="D415">
        <v>54168</v>
      </c>
    </row>
    <row r="416" spans="1:4" x14ac:dyDescent="0.25">
      <c r="A416" t="str">
        <f>T("   190230")</f>
        <v xml:space="preserve">   190230</v>
      </c>
      <c r="B416" t="str">
        <f>T("   Pâtes alimentaires, cuites ou autrement préparées (à l'excl. des pâtes alimentaires farcies)")</f>
        <v xml:space="preserve">   Pâtes alimentaires, cuites ou autrement préparées (à l'excl. des pâtes alimentaires farcies)</v>
      </c>
      <c r="C416">
        <v>5826893</v>
      </c>
      <c r="D416">
        <v>8746</v>
      </c>
    </row>
    <row r="417" spans="1:4" x14ac:dyDescent="0.25">
      <c r="A417" t="str">
        <f>T("   190410")</f>
        <v xml:space="preserve">   190410</v>
      </c>
      <c r="B417" t="str">
        <f>T("   PRODUITS À BASE DE CÉRÉALES OBTENUS PAR SOUFFLAGE OU GRILLAGE [CORN FLAKES, P.EX.]")</f>
        <v xml:space="preserve">   PRODUITS À BASE DE CÉRÉALES OBTENUS PAR SOUFFLAGE OU GRILLAGE [CORN FLAKES, P.EX.]</v>
      </c>
      <c r="C417">
        <v>13752203</v>
      </c>
      <c r="D417">
        <v>14524</v>
      </c>
    </row>
    <row r="418" spans="1:4" x14ac:dyDescent="0.25">
      <c r="A418" t="str">
        <f>T("   190532")</f>
        <v xml:space="preserve">   190532</v>
      </c>
      <c r="B418" t="str">
        <f>T("   GAUFRES ET GAUFRETTES")</f>
        <v xml:space="preserve">   GAUFRES ET GAUFRETTES</v>
      </c>
      <c r="C418">
        <v>2369428</v>
      </c>
      <c r="D418">
        <v>8699</v>
      </c>
    </row>
    <row r="419" spans="1:4" x14ac:dyDescent="0.25">
      <c r="A419" t="str">
        <f>T("   190540")</f>
        <v xml:space="preserve">   190540</v>
      </c>
      <c r="B419" t="str">
        <f>T("   Biscottes, pain grillé et produits simil. grillés")</f>
        <v xml:space="preserve">   Biscottes, pain grillé et produits simil. grillés</v>
      </c>
      <c r="C419">
        <v>1624813</v>
      </c>
      <c r="D419">
        <v>1861</v>
      </c>
    </row>
    <row r="420" spans="1:4" x14ac:dyDescent="0.25">
      <c r="A420" t="str">
        <f>T("   190590")</f>
        <v xml:space="preserve">   190590</v>
      </c>
      <c r="B420" t="s">
        <v>51</v>
      </c>
      <c r="C420">
        <v>52929414</v>
      </c>
      <c r="D420">
        <v>60245</v>
      </c>
    </row>
    <row r="421" spans="1:4" x14ac:dyDescent="0.25">
      <c r="A421" t="str">
        <f>T("   200310")</f>
        <v xml:space="preserve">   200310</v>
      </c>
      <c r="B421" t="str">
        <f>T("   Champignons du genre 'Agaricus', préparés ou conservés autrement qu'au vinaigre ou à l'acide acétique")</f>
        <v xml:space="preserve">   Champignons du genre 'Agaricus', préparés ou conservés autrement qu'au vinaigre ou à l'acide acétique</v>
      </c>
      <c r="C421">
        <v>2297172</v>
      </c>
      <c r="D421">
        <v>3021</v>
      </c>
    </row>
    <row r="422" spans="1:4" x14ac:dyDescent="0.25">
      <c r="A422" t="str">
        <f>T("   200410")</f>
        <v xml:space="preserve">   200410</v>
      </c>
      <c r="B422" t="str">
        <f>T("   Pommes de terre, préparées ou conservées autrement qu'au vinaigre ou à l'acide acétique, congelées")</f>
        <v xml:space="preserve">   Pommes de terre, préparées ou conservées autrement qu'au vinaigre ou à l'acide acétique, congelées</v>
      </c>
      <c r="C422">
        <v>51094163</v>
      </c>
      <c r="D422">
        <v>175680</v>
      </c>
    </row>
    <row r="423" spans="1:4" x14ac:dyDescent="0.25">
      <c r="A423" t="str">
        <f>T("   200520")</f>
        <v xml:space="preserve">   200520</v>
      </c>
      <c r="B423" t="str">
        <f>T("   POMMES DE TERRE, PRÉPARÉES OU CONSERVÉES AUTREMENT QU'AU VINAIGRE OU À L'ACIDE ACÉTIQUE, NON-CONGELÉES")</f>
        <v xml:space="preserve">   POMMES DE TERRE, PRÉPARÉES OU CONSERVÉES AUTREMENT QU'AU VINAIGRE OU À L'ACIDE ACÉTIQUE, NON-CONGELÉES</v>
      </c>
      <c r="C423">
        <v>1676634</v>
      </c>
      <c r="D423">
        <v>1908</v>
      </c>
    </row>
    <row r="424" spans="1:4" x14ac:dyDescent="0.25">
      <c r="A424" t="str">
        <f>T("   200560")</f>
        <v xml:space="preserve">   200560</v>
      </c>
      <c r="B424" t="str">
        <f>T("   Asperges, préparées ou conservées autrement qu'au vinaigre ou à l'acide acétique, non congelées")</f>
        <v xml:space="preserve">   Asperges, préparées ou conservées autrement qu'au vinaigre ou à l'acide acétique, non congelées</v>
      </c>
      <c r="C424">
        <v>352251</v>
      </c>
      <c r="D424">
        <v>446</v>
      </c>
    </row>
    <row r="425" spans="1:4" x14ac:dyDescent="0.25">
      <c r="A425" t="str">
        <f>T("   200870")</f>
        <v xml:space="preserve">   200870</v>
      </c>
      <c r="B425" t="s">
        <v>56</v>
      </c>
      <c r="C425">
        <v>2827188</v>
      </c>
      <c r="D425">
        <v>3613</v>
      </c>
    </row>
    <row r="426" spans="1:4" x14ac:dyDescent="0.25">
      <c r="A426" t="str">
        <f>T("   200892")</f>
        <v xml:space="preserve">   200892</v>
      </c>
      <c r="B426" t="s">
        <v>57</v>
      </c>
      <c r="C426">
        <v>1304048</v>
      </c>
      <c r="D426">
        <v>1670</v>
      </c>
    </row>
    <row r="427" spans="1:4" x14ac:dyDescent="0.25">
      <c r="A427" t="str">
        <f>T("   200899")</f>
        <v xml:space="preserve">   200899</v>
      </c>
      <c r="B427" t="s">
        <v>58</v>
      </c>
      <c r="C427">
        <v>1478534</v>
      </c>
      <c r="D427">
        <v>1577</v>
      </c>
    </row>
    <row r="428" spans="1:4" x14ac:dyDescent="0.25">
      <c r="A428" t="str">
        <f>T("   200969")</f>
        <v xml:space="preserve">   200969</v>
      </c>
      <c r="B428" t="str">
        <f>T("   JUS DE RAISIN - Y.C. LES MOÛTS DE RAISIN -, NON-FERMENTÉS, SANS ADDITION D'ALCOOL, AVEC OU SANS ADDITION DE SUCRE OU D'AUTRES ÉDULCORANTS, D'UNE VALEUR BRIX &gt; 30 À 20°C")</f>
        <v xml:space="preserve">   JUS DE RAISIN - Y.C. LES MOÛTS DE RAISIN -, NON-FERMENTÉS, SANS ADDITION D'ALCOOL, AVEC OU SANS ADDITION DE SUCRE OU D'AUTRES ÉDULCORANTS, D'UNE VALEUR BRIX &gt; 30 À 20°C</v>
      </c>
      <c r="C428">
        <v>61773390</v>
      </c>
      <c r="D428">
        <v>158647</v>
      </c>
    </row>
    <row r="429" spans="1:4" x14ac:dyDescent="0.25">
      <c r="A429" t="str">
        <f>T("   200979")</f>
        <v xml:space="preserve">   200979</v>
      </c>
      <c r="B429" t="str">
        <f>T("   JUS DE POMME, NON-FERMENTÉS, SANS ADDITION D'ALCOOL, AVEC OU SANS ADDITION DE SUCRE OU D'AUTRES ÉDULCORANTS, D'UNE VALEUR BRIX &gt; 20 À 20°C")</f>
        <v xml:space="preserve">   JUS DE POMME, NON-FERMENTÉS, SANS ADDITION D'ALCOOL, AVEC OU SANS ADDITION DE SUCRE OU D'AUTRES ÉDULCORANTS, D'UNE VALEUR BRIX &gt; 20 À 20°C</v>
      </c>
      <c r="C429">
        <v>6474712</v>
      </c>
      <c r="D429">
        <v>19212</v>
      </c>
    </row>
    <row r="430" spans="1:4" x14ac:dyDescent="0.25">
      <c r="A430" t="str">
        <f>T("   200980")</f>
        <v xml:space="preserve">   200980</v>
      </c>
      <c r="B430"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430">
        <v>6861755</v>
      </c>
      <c r="D430">
        <v>17890</v>
      </c>
    </row>
    <row r="431" spans="1:4" x14ac:dyDescent="0.25">
      <c r="A431" t="str">
        <f>T("   200990")</f>
        <v xml:space="preserve">   200990</v>
      </c>
      <c r="B431"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431">
        <v>35556752</v>
      </c>
      <c r="D431">
        <v>117689</v>
      </c>
    </row>
    <row r="432" spans="1:4" x14ac:dyDescent="0.25">
      <c r="A432" t="str">
        <f>T("   210390")</f>
        <v xml:space="preserve">   210390</v>
      </c>
      <c r="B432"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432">
        <v>10171973</v>
      </c>
      <c r="D432">
        <v>9429</v>
      </c>
    </row>
    <row r="433" spans="1:4" x14ac:dyDescent="0.25">
      <c r="A433" t="str">
        <f>T("   210420")</f>
        <v xml:space="preserve">   210420</v>
      </c>
      <c r="B433" t="s">
        <v>59</v>
      </c>
      <c r="C433">
        <v>8550000</v>
      </c>
      <c r="D433">
        <v>20107</v>
      </c>
    </row>
    <row r="434" spans="1:4" x14ac:dyDescent="0.25">
      <c r="A434" t="str">
        <f>T("   210690")</f>
        <v xml:space="preserve">   210690</v>
      </c>
      <c r="B434" t="str">
        <f>T("   Préparations alimentaires, n.d.a.")</f>
        <v xml:space="preserve">   Préparations alimentaires, n.d.a.</v>
      </c>
      <c r="C434">
        <v>221154946</v>
      </c>
      <c r="D434">
        <v>45766</v>
      </c>
    </row>
    <row r="435" spans="1:4" x14ac:dyDescent="0.25">
      <c r="A435" t="str">
        <f>T("   220110")</f>
        <v xml:space="preserve">   220110</v>
      </c>
      <c r="B435" t="str">
        <f>T("   Eaux minérales et eaux gazéifiées, non additionnées de sucre ou d'autres édulcorants ni aromatisées")</f>
        <v xml:space="preserve">   Eaux minérales et eaux gazéifiées, non additionnées de sucre ou d'autres édulcorants ni aromatisées</v>
      </c>
      <c r="C435">
        <v>7807893</v>
      </c>
      <c r="D435">
        <v>11521</v>
      </c>
    </row>
    <row r="436" spans="1:4" x14ac:dyDescent="0.25">
      <c r="A436" t="str">
        <f>T("   220210")</f>
        <v xml:space="preserve">   220210</v>
      </c>
      <c r="B436"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436">
        <v>11490452</v>
      </c>
      <c r="D436">
        <v>30959</v>
      </c>
    </row>
    <row r="437" spans="1:4" x14ac:dyDescent="0.25">
      <c r="A437" t="str">
        <f>T("   220290")</f>
        <v xml:space="preserve">   220290</v>
      </c>
      <c r="B437" t="str">
        <f>T("   BOISSONS NON-ALCOOLIQUES (À L'EXCL. DES EAUX, DES JUS DE FRUITS OU DE LÉGUMES AINSI QUE DU LAIT)")</f>
        <v xml:space="preserve">   BOISSONS NON-ALCOOLIQUES (À L'EXCL. DES EAUX, DES JUS DE FRUITS OU DE LÉGUMES AINSI QUE DU LAIT)</v>
      </c>
      <c r="C437">
        <v>326264483</v>
      </c>
      <c r="D437">
        <v>1157582</v>
      </c>
    </row>
    <row r="438" spans="1:4" x14ac:dyDescent="0.25">
      <c r="A438" t="str">
        <f>T("   220300")</f>
        <v xml:space="preserve">   220300</v>
      </c>
      <c r="B438" t="str">
        <f>T("   Bières de malt")</f>
        <v xml:space="preserve">   Bières de malt</v>
      </c>
      <c r="C438">
        <v>159226287</v>
      </c>
      <c r="D438">
        <v>513103</v>
      </c>
    </row>
    <row r="439" spans="1:4" x14ac:dyDescent="0.25">
      <c r="A439" t="str">
        <f>T("   220410")</f>
        <v xml:space="preserve">   220410</v>
      </c>
      <c r="B439" t="str">
        <f>T("   Vins mousseux produits à partir de raisins frais")</f>
        <v xml:space="preserve">   Vins mousseux produits à partir de raisins frais</v>
      </c>
      <c r="C439">
        <v>809456</v>
      </c>
      <c r="D439">
        <v>1288</v>
      </c>
    </row>
    <row r="440" spans="1:4" x14ac:dyDescent="0.25">
      <c r="A440" t="str">
        <f>T("   220421")</f>
        <v xml:space="preserve">   220421</v>
      </c>
      <c r="B440" t="str">
        <f>T("   Vins de raisins frais, y.c. les vins enrichis en alcool (à l'excl. des vins mousseux); moûts de raisins dont la fermentation a été empêchée ou arrêtée par addition d'alcool, en récipients d'une contenance &lt;= 2 l")</f>
        <v xml:space="preserve">   Vins de raisins frais, y.c. les vins enrichis en alcool (à l'excl. des vins mousseux); moûts de raisins dont la fermentation a été empêchée ou arrêtée par addition d'alcool, en récipients d'une contenance &lt;= 2 l</v>
      </c>
      <c r="C440">
        <v>4023660</v>
      </c>
      <c r="D440">
        <v>6906</v>
      </c>
    </row>
    <row r="441" spans="1:4" x14ac:dyDescent="0.25">
      <c r="A441" t="str">
        <f>T("   220429")</f>
        <v xml:space="preserve">   220429</v>
      </c>
      <c r="B441" t="str">
        <f>T("   VINS DE RAISINS FRAIS, Y.C. LES VINS ENRICHIS EN ALCOOL, ET MOÛTS DE RAISINS DONT LA FERMENTATION A ÉTÉ EMPÊCHÉE OU ARRÊTÉE PAR ADDITION D'ALCOOL, EN RÉCIPIENTS D'UNE CONTENANCE &gt; 2 L (À L'EXCL. DES VINS MOUSSEUX)")</f>
        <v xml:space="preserve">   VINS DE RAISINS FRAIS, Y.C. LES VINS ENRICHIS EN ALCOOL, ET MOÛTS DE RAISINS DONT LA FERMENTATION A ÉTÉ EMPÊCHÉE OU ARRÊTÉE PAR ADDITION D'ALCOOL, EN RÉCIPIENTS D'UNE CONTENANCE &gt; 2 L (À L'EXCL. DES VINS MOUSSEUX)</v>
      </c>
      <c r="C441">
        <v>8000088</v>
      </c>
      <c r="D441">
        <v>18381</v>
      </c>
    </row>
    <row r="442" spans="1:4" x14ac:dyDescent="0.25">
      <c r="A442" t="str">
        <f>T("   220600")</f>
        <v xml:space="preserve">   220600</v>
      </c>
      <c r="B442" t="s">
        <v>60</v>
      </c>
      <c r="C442">
        <v>5503504</v>
      </c>
      <c r="D442">
        <v>20000</v>
      </c>
    </row>
    <row r="443" spans="1:4" x14ac:dyDescent="0.25">
      <c r="A443" t="str">
        <f>T("   220710")</f>
        <v xml:space="preserve">   220710</v>
      </c>
      <c r="B443" t="str">
        <f>T("   Alcool éthylique non dénaturé d'un titre alcoométrique volumique &gt;= 80% vol")</f>
        <v xml:space="preserve">   Alcool éthylique non dénaturé d'un titre alcoométrique volumique &gt;= 80% vol</v>
      </c>
      <c r="C443">
        <v>11921417</v>
      </c>
      <c r="D443">
        <v>14061</v>
      </c>
    </row>
    <row r="444" spans="1:4" x14ac:dyDescent="0.25">
      <c r="A444" t="str">
        <f>T("   220720")</f>
        <v xml:space="preserve">   220720</v>
      </c>
      <c r="B444" t="str">
        <f>T("   Alcool éthylique et eaux-de-vie dénaturés de tous titres")</f>
        <v xml:space="preserve">   Alcool éthylique et eaux-de-vie dénaturés de tous titres</v>
      </c>
      <c r="C444">
        <v>362090</v>
      </c>
      <c r="D444">
        <v>314</v>
      </c>
    </row>
    <row r="445" spans="1:4" x14ac:dyDescent="0.25">
      <c r="A445" t="str">
        <f>T("   220830")</f>
        <v xml:space="preserve">   220830</v>
      </c>
      <c r="B445" t="str">
        <f>T("   Whiskies")</f>
        <v xml:space="preserve">   Whiskies</v>
      </c>
      <c r="C445">
        <v>20514644</v>
      </c>
      <c r="D445">
        <v>72329</v>
      </c>
    </row>
    <row r="446" spans="1:4" x14ac:dyDescent="0.25">
      <c r="A446" t="str">
        <f>T("   220850")</f>
        <v xml:space="preserve">   220850</v>
      </c>
      <c r="B446" t="str">
        <f>T("   Gin et genièvre")</f>
        <v xml:space="preserve">   Gin et genièvre</v>
      </c>
      <c r="C446">
        <v>77575252</v>
      </c>
      <c r="D446">
        <v>296362</v>
      </c>
    </row>
    <row r="447" spans="1:4" x14ac:dyDescent="0.25">
      <c r="A447" t="str">
        <f>T("   220860")</f>
        <v xml:space="preserve">   220860</v>
      </c>
      <c r="B447" t="str">
        <f>T("   VODKA")</f>
        <v xml:space="preserve">   VODKA</v>
      </c>
      <c r="C447">
        <v>4791786</v>
      </c>
      <c r="D447">
        <v>12948</v>
      </c>
    </row>
    <row r="448" spans="1:4" x14ac:dyDescent="0.25">
      <c r="A448" t="str">
        <f>T("   220870")</f>
        <v xml:space="preserve">   220870</v>
      </c>
      <c r="B448" t="str">
        <f>T("   LIQUEURS")</f>
        <v xml:space="preserve">   LIQUEURS</v>
      </c>
      <c r="C448">
        <v>53820072</v>
      </c>
      <c r="D448">
        <v>124008</v>
      </c>
    </row>
    <row r="449" spans="1:4" x14ac:dyDescent="0.25">
      <c r="A449" t="str">
        <f>T("   220890")</f>
        <v xml:space="preserve">   220890</v>
      </c>
      <c r="B449" t="s">
        <v>61</v>
      </c>
      <c r="C449">
        <v>55500460</v>
      </c>
      <c r="D449">
        <v>192681</v>
      </c>
    </row>
    <row r="450" spans="1:4" x14ac:dyDescent="0.25">
      <c r="A450" t="str">
        <f>T("   230910")</f>
        <v xml:space="preserve">   230910</v>
      </c>
      <c r="B450" t="str">
        <f>T("   Aliments pour chiens ou chats, conditionnés pour la vente au détail")</f>
        <v xml:space="preserve">   Aliments pour chiens ou chats, conditionnés pour la vente au détail</v>
      </c>
      <c r="C450">
        <v>19011689</v>
      </c>
      <c r="D450">
        <v>26191</v>
      </c>
    </row>
    <row r="451" spans="1:4" x14ac:dyDescent="0.25">
      <c r="A451" t="str">
        <f>T("   230990")</f>
        <v xml:space="preserve">   230990</v>
      </c>
      <c r="B451" t="str">
        <f>T("   Préparations des types utilisés pour l'alimentation des animaux (à l'excl. des aliments pour chiens ou chats conditionnés pour la vente au détail)")</f>
        <v xml:space="preserve">   Préparations des types utilisés pour l'alimentation des animaux (à l'excl. des aliments pour chiens ou chats conditionnés pour la vente au détail)</v>
      </c>
      <c r="C451">
        <v>221303815</v>
      </c>
      <c r="D451">
        <v>885864</v>
      </c>
    </row>
    <row r="452" spans="1:4" x14ac:dyDescent="0.25">
      <c r="A452" t="str">
        <f>T("   250100")</f>
        <v xml:space="preserve">   250100</v>
      </c>
      <c r="B452" t="s">
        <v>63</v>
      </c>
      <c r="C452">
        <v>503121</v>
      </c>
      <c r="D452">
        <v>751</v>
      </c>
    </row>
    <row r="453" spans="1:4" x14ac:dyDescent="0.25">
      <c r="A453" t="str">
        <f>T("   252321")</f>
        <v xml:space="preserve">   252321</v>
      </c>
      <c r="B453" t="str">
        <f>T("   Ciments Portland blancs, même colorés artificiellement")</f>
        <v xml:space="preserve">   Ciments Portland blancs, même colorés artificiellement</v>
      </c>
      <c r="C453">
        <v>5113864</v>
      </c>
      <c r="D453">
        <v>81000</v>
      </c>
    </row>
    <row r="454" spans="1:4" x14ac:dyDescent="0.25">
      <c r="A454" t="str">
        <f>T("   252390")</f>
        <v xml:space="preserve">   252390</v>
      </c>
      <c r="B454" t="str">
        <f>T("   Ciments, même colorés (à l'excl. des ciments Portland et des ciments alumineux)")</f>
        <v xml:space="preserve">   Ciments, même colorés (à l'excl. des ciments Portland et des ciments alumineux)</v>
      </c>
      <c r="C454">
        <v>121830146</v>
      </c>
      <c r="D454">
        <v>1270080</v>
      </c>
    </row>
    <row r="455" spans="1:4" x14ac:dyDescent="0.25">
      <c r="A455" t="str">
        <f>T("   270600")</f>
        <v xml:space="preserve">   270600</v>
      </c>
      <c r="B455" t="str">
        <f>T("   Goudrons de houille, de lignite ou de tourbe et autres goudrons minéraux, même déshydratés ou étêtés, y.c. les goudrons reconstitués")</f>
        <v xml:space="preserve">   Goudrons de houille, de lignite ou de tourbe et autres goudrons minéraux, même déshydratés ou étêtés, y.c. les goudrons reconstitués</v>
      </c>
      <c r="C455">
        <v>1230582</v>
      </c>
      <c r="D455">
        <v>680</v>
      </c>
    </row>
    <row r="456" spans="1:4" x14ac:dyDescent="0.25">
      <c r="A456" t="str">
        <f>T("   270720")</f>
        <v xml:space="preserve">   270720</v>
      </c>
      <c r="B456" t="str">
        <f>T("   TOLUOL 'TOLUÈNE' CONTENANT &gt; 50% DE TOLUÈNE (À L'EXCL. DES PRODUITS DE CONSTITUTION CHIMIQUE DÉFINIE)")</f>
        <v xml:space="preserve">   TOLUOL 'TOLUÈNE' CONTENANT &gt; 50% DE TOLUÈNE (À L'EXCL. DES PRODUITS DE CONSTITUTION CHIMIQUE DÉFINIE)</v>
      </c>
      <c r="C456">
        <v>11089004</v>
      </c>
      <c r="D456">
        <v>14400</v>
      </c>
    </row>
    <row r="457" spans="1:4" x14ac:dyDescent="0.25">
      <c r="A457" t="str">
        <f>T("   270730")</f>
        <v xml:space="preserve">   270730</v>
      </c>
      <c r="B457" t="str">
        <f>T("   XYLOL 'XYLÈNES' CONTENANT &gt; 50% DE XYLÈNES (À L'EXCL. DES PRODUITS DE CONSTITUTION CHIMIQUE DÉFINIE)")</f>
        <v xml:space="preserve">   XYLOL 'XYLÈNES' CONTENANT &gt; 50% DE XYLÈNES (À L'EXCL. DES PRODUITS DE CONSTITUTION CHIMIQUE DÉFINIE)</v>
      </c>
      <c r="C457">
        <v>7599152</v>
      </c>
      <c r="D457">
        <v>11850</v>
      </c>
    </row>
    <row r="458" spans="1:4" x14ac:dyDescent="0.25">
      <c r="A458" t="str">
        <f>T("   270750")</f>
        <v xml:space="preserve">   270750</v>
      </c>
      <c r="B458" t="str">
        <f>T("   MÉLANGES D'HYDROCARBURES AROMATIQUES DISTILLANT &gt;= 65% DE LEUR VOLUME, Y.C. LES PERTES, À 250°C D'APRÈS LA MÉTHODE ASTM D 86 (À L'EXCL. DES PRODUITS DE CONSTITUTION CHIMIQUE DÉFINIE)")</f>
        <v xml:space="preserve">   MÉLANGES D'HYDROCARBURES AROMATIQUES DISTILLANT &gt;= 65% DE LEUR VOLUME, Y.C. LES PERTES, À 250°C D'APRÈS LA MÉTHODE ASTM D 86 (À L'EXCL. DES PRODUITS DE CONSTITUTION CHIMIQUE DÉFINIE)</v>
      </c>
      <c r="C458">
        <v>20634048</v>
      </c>
      <c r="D458">
        <v>28200</v>
      </c>
    </row>
    <row r="459" spans="1:4" x14ac:dyDescent="0.25">
      <c r="A459" t="str">
        <f>T("   271011")</f>
        <v xml:space="preserve">   271011</v>
      </c>
      <c r="B459"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459">
        <v>21710819</v>
      </c>
      <c r="D459">
        <v>32320</v>
      </c>
    </row>
    <row r="460" spans="1:4" x14ac:dyDescent="0.25">
      <c r="A460" t="str">
        <f>T("   271019")</f>
        <v xml:space="preserve">   271019</v>
      </c>
      <c r="B460" t="str">
        <f>T("   Huiles moyennes et préparations, de pétrole ou de minéraux bitumineux, n.d.a.")</f>
        <v xml:space="preserve">   Huiles moyennes et préparations, de pétrole ou de minéraux bitumineux, n.d.a.</v>
      </c>
      <c r="C460">
        <v>4429817630</v>
      </c>
      <c r="D460">
        <v>14123205</v>
      </c>
    </row>
    <row r="461" spans="1:4" x14ac:dyDescent="0.25">
      <c r="A461" t="str">
        <f>T("   280110")</f>
        <v xml:space="preserve">   280110</v>
      </c>
      <c r="B461" t="str">
        <f>T("   Chlore")</f>
        <v xml:space="preserve">   Chlore</v>
      </c>
      <c r="C461">
        <v>196788</v>
      </c>
      <c r="D461">
        <v>301</v>
      </c>
    </row>
    <row r="462" spans="1:4" x14ac:dyDescent="0.25">
      <c r="A462" t="str">
        <f>T("   280610")</f>
        <v xml:space="preserve">   280610</v>
      </c>
      <c r="B462" t="str">
        <f>T("   Chlorure d'hydrogène [acide chlorhydrique]")</f>
        <v xml:space="preserve">   Chlorure d'hydrogène [acide chlorhydrique]</v>
      </c>
      <c r="C462">
        <v>3975998</v>
      </c>
      <c r="D462">
        <v>14088</v>
      </c>
    </row>
    <row r="463" spans="1:4" x14ac:dyDescent="0.25">
      <c r="A463" t="str">
        <f>T("   280700")</f>
        <v xml:space="preserve">   280700</v>
      </c>
      <c r="B463" t="str">
        <f>T("   Acide sulfurique; oléum")</f>
        <v xml:space="preserve">   Acide sulfurique; oléum</v>
      </c>
      <c r="C463">
        <v>22203209</v>
      </c>
      <c r="D463">
        <v>136141</v>
      </c>
    </row>
    <row r="464" spans="1:4" x14ac:dyDescent="0.25">
      <c r="A464" t="str">
        <f>T("   280800")</f>
        <v xml:space="preserve">   280800</v>
      </c>
      <c r="B464" t="str">
        <f>T("   Acide nitrique; acides sulfonitriques")</f>
        <v xml:space="preserve">   Acide nitrique; acides sulfonitriques</v>
      </c>
      <c r="C464">
        <v>5688485</v>
      </c>
      <c r="D464">
        <v>20160</v>
      </c>
    </row>
    <row r="465" spans="1:4" x14ac:dyDescent="0.25">
      <c r="A465" t="str">
        <f>T("   281511")</f>
        <v xml:space="preserve">   281511</v>
      </c>
      <c r="B465" t="str">
        <f>T("   Hydroxyde de sodium [soude caustique], solide")</f>
        <v xml:space="preserve">   Hydroxyde de sodium [soude caustique], solide</v>
      </c>
      <c r="C465">
        <v>29831093</v>
      </c>
      <c r="D465">
        <v>155920</v>
      </c>
    </row>
    <row r="466" spans="1:4" x14ac:dyDescent="0.25">
      <c r="A466" t="str">
        <f>T("   282110")</f>
        <v xml:space="preserve">   282110</v>
      </c>
      <c r="B466" t="str">
        <f>T("   Oxydes et hydroxydes de fer")</f>
        <v xml:space="preserve">   Oxydes et hydroxydes de fer</v>
      </c>
      <c r="C466">
        <v>5377240</v>
      </c>
      <c r="D466">
        <v>54000</v>
      </c>
    </row>
    <row r="467" spans="1:4" x14ac:dyDescent="0.25">
      <c r="A467" t="str">
        <f>T("   282410")</f>
        <v xml:space="preserve">   282410</v>
      </c>
      <c r="B467" t="str">
        <f>T("   Monoxyde de plomb [litharge, massicot]")</f>
        <v xml:space="preserve">   Monoxyde de plomb [litharge, massicot]</v>
      </c>
      <c r="C467">
        <v>2763559</v>
      </c>
      <c r="D467">
        <v>2000</v>
      </c>
    </row>
    <row r="468" spans="1:4" x14ac:dyDescent="0.25">
      <c r="A468" t="str">
        <f>T("   282720")</f>
        <v xml:space="preserve">   282720</v>
      </c>
      <c r="B468" t="str">
        <f>T("   Chlorure de calcium")</f>
        <v xml:space="preserve">   Chlorure de calcium</v>
      </c>
      <c r="C468">
        <v>1939018</v>
      </c>
      <c r="D468">
        <v>1949</v>
      </c>
    </row>
    <row r="469" spans="1:4" x14ac:dyDescent="0.25">
      <c r="A469" t="str">
        <f>T("   282810")</f>
        <v xml:space="preserve">   282810</v>
      </c>
      <c r="B469" t="str">
        <f>T("   Hypochlorites de calcium, y.c. l'hypochlorite de calcium du commerce")</f>
        <v xml:space="preserve">   Hypochlorites de calcium, y.c. l'hypochlorite de calcium du commerce</v>
      </c>
      <c r="C469">
        <v>11872220</v>
      </c>
      <c r="D469">
        <v>10476</v>
      </c>
    </row>
    <row r="470" spans="1:4" x14ac:dyDescent="0.25">
      <c r="A470" t="str">
        <f>T("   282890")</f>
        <v xml:space="preserve">   282890</v>
      </c>
      <c r="B470" t="str">
        <f>T("   Hypochlorites, chlorites et hypobromites (à l'excl. des hypochlorites de calcium)")</f>
        <v xml:space="preserve">   Hypochlorites, chlorites et hypobromites (à l'excl. des hypochlorites de calcium)</v>
      </c>
      <c r="C470">
        <v>1784211</v>
      </c>
      <c r="D470">
        <v>2836</v>
      </c>
    </row>
    <row r="471" spans="1:4" x14ac:dyDescent="0.25">
      <c r="A471" t="str">
        <f>T("   283321")</f>
        <v xml:space="preserve">   283321</v>
      </c>
      <c r="B471" t="str">
        <f>T("   Sulfate de magnésium")</f>
        <v xml:space="preserve">   Sulfate de magnésium</v>
      </c>
      <c r="C471">
        <v>402759</v>
      </c>
      <c r="D471">
        <v>24</v>
      </c>
    </row>
    <row r="472" spans="1:4" x14ac:dyDescent="0.25">
      <c r="A472" t="str">
        <f>T("   283329")</f>
        <v xml:space="preserve">   283329</v>
      </c>
      <c r="B472" t="str">
        <f>T("   SULFATES (AUTRES QUE DE SODIUM, DE MAGNÉSIUM, D'ALUMINIUM, DE NICKEL, DE CUIVRE, DE BARYUM OU DE MERCURE)")</f>
        <v xml:space="preserve">   SULFATES (AUTRES QUE DE SODIUM, DE MAGNÉSIUM, D'ALUMINIUM, DE NICKEL, DE CUIVRE, DE BARYUM OU DE MERCURE)</v>
      </c>
      <c r="C472">
        <v>1433273</v>
      </c>
      <c r="D472">
        <v>7018</v>
      </c>
    </row>
    <row r="473" spans="1:4" x14ac:dyDescent="0.25">
      <c r="A473" t="str">
        <f>T("   283525")</f>
        <v xml:space="preserve">   283525</v>
      </c>
      <c r="B473" t="str">
        <f>T("   Hydrogénoorthophosphate de calcium [phosphate dicalcique]")</f>
        <v xml:space="preserve">   Hydrogénoorthophosphate de calcium [phosphate dicalcique]</v>
      </c>
      <c r="C473">
        <v>11392714</v>
      </c>
      <c r="D473">
        <v>96139</v>
      </c>
    </row>
    <row r="474" spans="1:4" x14ac:dyDescent="0.25">
      <c r="A474" t="str">
        <f>T("   283531")</f>
        <v xml:space="preserve">   283531</v>
      </c>
      <c r="B474" t="str">
        <f>T("   Triphosphate de sodium [tripolyphosphate de sodium], de constitution chimique définie ou non")</f>
        <v xml:space="preserve">   Triphosphate de sodium [tripolyphosphate de sodium], de constitution chimique définie ou non</v>
      </c>
      <c r="C474">
        <v>2699931</v>
      </c>
      <c r="D474">
        <v>1205</v>
      </c>
    </row>
    <row r="475" spans="1:4" x14ac:dyDescent="0.25">
      <c r="A475" t="str">
        <f>T("   283630")</f>
        <v xml:space="preserve">   283630</v>
      </c>
      <c r="B475" t="str">
        <f>T("   Hydrogénocarbonate [bicarbonate] de sodium")</f>
        <v xml:space="preserve">   Hydrogénocarbonate [bicarbonate] de sodium</v>
      </c>
      <c r="C475">
        <v>3497579</v>
      </c>
      <c r="D475">
        <v>1315</v>
      </c>
    </row>
    <row r="476" spans="1:4" x14ac:dyDescent="0.25">
      <c r="A476" t="str">
        <f>T("   283650")</f>
        <v xml:space="preserve">   283650</v>
      </c>
      <c r="B476" t="str">
        <f>T("   Carbonate de calcium")</f>
        <v xml:space="preserve">   Carbonate de calcium</v>
      </c>
      <c r="C476">
        <v>3287015</v>
      </c>
      <c r="D476">
        <v>24000</v>
      </c>
    </row>
    <row r="477" spans="1:4" x14ac:dyDescent="0.25">
      <c r="A477" t="str">
        <f>T("   290110")</f>
        <v xml:space="preserve">   290110</v>
      </c>
      <c r="B477" t="str">
        <f>T("   Hydrocarbures acycliques, saturés")</f>
        <v xml:space="preserve">   Hydrocarbures acycliques, saturés</v>
      </c>
      <c r="C477">
        <v>1837344</v>
      </c>
      <c r="D477">
        <v>2740</v>
      </c>
    </row>
    <row r="478" spans="1:4" x14ac:dyDescent="0.25">
      <c r="A478" t="str">
        <f>T("   290230")</f>
        <v xml:space="preserve">   290230</v>
      </c>
      <c r="B478" t="str">
        <f>T("   Toluène")</f>
        <v xml:space="preserve">   Toluène</v>
      </c>
      <c r="C478">
        <v>37734644</v>
      </c>
      <c r="D478">
        <v>68298</v>
      </c>
    </row>
    <row r="479" spans="1:4" x14ac:dyDescent="0.25">
      <c r="A479" t="str">
        <f>T("   290241")</f>
        <v xml:space="preserve">   290241</v>
      </c>
      <c r="B479" t="str">
        <f>T("   o-Xylène")</f>
        <v xml:space="preserve">   o-Xylène</v>
      </c>
      <c r="C479">
        <v>2997081</v>
      </c>
      <c r="D479">
        <v>4140</v>
      </c>
    </row>
    <row r="480" spans="1:4" x14ac:dyDescent="0.25">
      <c r="A480" t="str">
        <f>T("   290242")</f>
        <v xml:space="preserve">   290242</v>
      </c>
      <c r="B480" t="str">
        <f>T("   m-Xylène")</f>
        <v xml:space="preserve">   m-Xylène</v>
      </c>
      <c r="C480">
        <v>392920</v>
      </c>
      <c r="D480">
        <v>540</v>
      </c>
    </row>
    <row r="481" spans="1:4" x14ac:dyDescent="0.25">
      <c r="A481" t="str">
        <f>T("   290322")</f>
        <v xml:space="preserve">   290322</v>
      </c>
      <c r="B481" t="str">
        <f>T("   Trichloroéthylène")</f>
        <v xml:space="preserve">   Trichloroéthylène</v>
      </c>
      <c r="C481">
        <v>899322</v>
      </c>
      <c r="D481">
        <v>900</v>
      </c>
    </row>
    <row r="482" spans="1:4" x14ac:dyDescent="0.25">
      <c r="A482" t="str">
        <f>T("   290369")</f>
        <v xml:space="preserve">   290369</v>
      </c>
      <c r="B482" t="s">
        <v>66</v>
      </c>
      <c r="C482">
        <v>5216194</v>
      </c>
      <c r="D482">
        <v>2711</v>
      </c>
    </row>
    <row r="483" spans="1:4" x14ac:dyDescent="0.25">
      <c r="A483" t="str">
        <f>T("   290513")</f>
        <v xml:space="preserve">   290513</v>
      </c>
      <c r="B483" t="str">
        <f>T("   Butane-1-ol [alcool n-butylique]")</f>
        <v xml:space="preserve">   Butane-1-ol [alcool n-butylique]</v>
      </c>
      <c r="C483">
        <v>2315539</v>
      </c>
      <c r="D483">
        <v>2490</v>
      </c>
    </row>
    <row r="484" spans="1:4" x14ac:dyDescent="0.25">
      <c r="A484" t="str">
        <f>T("   290531")</f>
        <v xml:space="preserve">   290531</v>
      </c>
      <c r="B484" t="str">
        <f>T("   ÉTHYLÈNE GLYCOL [ÉTHANEDIOL]")</f>
        <v xml:space="preserve">   ÉTHYLÈNE GLYCOL [ÉTHANEDIOL]</v>
      </c>
      <c r="C484">
        <v>3168332</v>
      </c>
      <c r="D484">
        <v>3610</v>
      </c>
    </row>
    <row r="485" spans="1:4" x14ac:dyDescent="0.25">
      <c r="A485" t="str">
        <f>T("   290532")</f>
        <v xml:space="preserve">   290532</v>
      </c>
      <c r="B485" t="str">
        <f>T("   Propylène glycol [propane-1,2-diol]")</f>
        <v xml:space="preserve">   Propylène glycol [propane-1,2-diol]</v>
      </c>
      <c r="C485">
        <v>27055070</v>
      </c>
      <c r="D485">
        <v>527</v>
      </c>
    </row>
    <row r="486" spans="1:4" x14ac:dyDescent="0.25">
      <c r="A486" t="str">
        <f>T("   290944")</f>
        <v xml:space="preserve">   290944</v>
      </c>
      <c r="B486" t="str">
        <f>T("   Ethers monoalkyliques de l'éthylène-glycol ou du diéthylène-glycol (à l'excl. du 2,2'-oxydiéthanol [diéthylène-glycol] ainsi que des éthers monométhyliques ou monobutyliques)")</f>
        <v xml:space="preserve">   Ethers monoalkyliques de l'éthylène-glycol ou du diéthylène-glycol (à l'excl. du 2,2'-oxydiéthanol [diéthylène-glycol] ainsi que des éthers monométhyliques ou monobutyliques)</v>
      </c>
      <c r="C486">
        <v>4989889</v>
      </c>
      <c r="D486">
        <v>4972</v>
      </c>
    </row>
    <row r="487" spans="1:4" x14ac:dyDescent="0.25">
      <c r="A487" t="str">
        <f>T("   291412")</f>
        <v xml:space="preserve">   291412</v>
      </c>
      <c r="B487" t="str">
        <f>T("   Butanone [méthyléthylcétone]")</f>
        <v xml:space="preserve">   Butanone [méthyléthylcétone]</v>
      </c>
      <c r="C487">
        <v>1759941</v>
      </c>
      <c r="D487">
        <v>2179</v>
      </c>
    </row>
    <row r="488" spans="1:4" x14ac:dyDescent="0.25">
      <c r="A488" t="str">
        <f>T("   291440")</f>
        <v xml:space="preserve">   291440</v>
      </c>
      <c r="B488" t="str">
        <f>T("   Cétones-alcools et cétones-aldéhydes")</f>
        <v xml:space="preserve">   Cétones-alcools et cétones-aldéhydes</v>
      </c>
      <c r="C488">
        <v>6539921</v>
      </c>
      <c r="D488">
        <v>3850</v>
      </c>
    </row>
    <row r="489" spans="1:4" x14ac:dyDescent="0.25">
      <c r="A489" t="str">
        <f>T("   291531")</f>
        <v xml:space="preserve">   291531</v>
      </c>
      <c r="B489" t="str">
        <f>T("   Acétate d'éthyle")</f>
        <v xml:space="preserve">   Acétate d'éthyle</v>
      </c>
      <c r="C489">
        <v>724836</v>
      </c>
      <c r="D489">
        <v>760</v>
      </c>
    </row>
    <row r="490" spans="1:4" x14ac:dyDescent="0.25">
      <c r="A490" t="str">
        <f>T("   291533")</f>
        <v xml:space="preserve">   291533</v>
      </c>
      <c r="B490" t="str">
        <f>T("   Acétate de n-butyle")</f>
        <v xml:space="preserve">   Acétate de n-butyle</v>
      </c>
      <c r="C490">
        <v>8354306</v>
      </c>
      <c r="D490">
        <v>9914</v>
      </c>
    </row>
    <row r="491" spans="1:4" x14ac:dyDescent="0.25">
      <c r="A491" t="str">
        <f>T("   291539")</f>
        <v xml:space="preserve">   291539</v>
      </c>
      <c r="B491" t="str">
        <f>T("   Esters de l'acide acétique (à l'excl. des acétates d'éthyle, de vinyle, de n-butyle, d'isobutyle et de 2-éthoxyéthyle)")</f>
        <v xml:space="preserve">   Esters de l'acide acétique (à l'excl. des acétates d'éthyle, de vinyle, de n-butyle, d'isobutyle et de 2-éthoxyéthyle)</v>
      </c>
      <c r="C491">
        <v>676951</v>
      </c>
      <c r="D491">
        <v>645</v>
      </c>
    </row>
    <row r="492" spans="1:4" x14ac:dyDescent="0.25">
      <c r="A492" t="str">
        <f>T("   291560")</f>
        <v xml:space="preserve">   291560</v>
      </c>
      <c r="B492" t="str">
        <f>T("   Acides butanoïques, acides pentanoïques, leurs sels et leurs esters")</f>
        <v xml:space="preserve">   Acides butanoïques, acides pentanoïques, leurs sels et leurs esters</v>
      </c>
      <c r="C492">
        <v>3636603</v>
      </c>
      <c r="D492">
        <v>2535</v>
      </c>
    </row>
    <row r="493" spans="1:4" x14ac:dyDescent="0.25">
      <c r="A493" t="str">
        <f>T("   291732")</f>
        <v xml:space="preserve">   291732</v>
      </c>
      <c r="B493" t="str">
        <f>T("   Orthophtalates de dioctyle")</f>
        <v xml:space="preserve">   Orthophtalates de dioctyle</v>
      </c>
      <c r="C493">
        <v>571998</v>
      </c>
      <c r="D493">
        <v>645</v>
      </c>
    </row>
    <row r="494" spans="1:4" x14ac:dyDescent="0.25">
      <c r="A494" t="str">
        <f>T("   291734")</f>
        <v xml:space="preserve">   291734</v>
      </c>
      <c r="B494" t="str">
        <f>T("   ESTERS DE L'ACIDE ORTHOPHTALIQUE (À L'EXCL. DES ORTHOPHTALATES DE DIOCTYLE, DE DINONYLE OU DE DIDÉCYLE)")</f>
        <v xml:space="preserve">   ESTERS DE L'ACIDE ORTHOPHTALIQUE (À L'EXCL. DES ORTHOPHTALATES DE DIOCTYLE, DE DINONYLE OU DE DIDÉCYLE)</v>
      </c>
      <c r="C494">
        <v>4440193</v>
      </c>
      <c r="D494">
        <v>3120</v>
      </c>
    </row>
    <row r="495" spans="1:4" x14ac:dyDescent="0.25">
      <c r="A495" t="str">
        <f>T("   291815")</f>
        <v xml:space="preserve">   291815</v>
      </c>
      <c r="B495" t="str">
        <f>T("   Sels et esters de l'acide citrique")</f>
        <v xml:space="preserve">   Sels et esters de l'acide citrique</v>
      </c>
      <c r="C495">
        <v>359978</v>
      </c>
      <c r="D495">
        <v>41</v>
      </c>
    </row>
    <row r="496" spans="1:4" x14ac:dyDescent="0.25">
      <c r="A496" t="str">
        <f>T("   292241")</f>
        <v xml:space="preserve">   292241</v>
      </c>
      <c r="B496" t="str">
        <f>T("   Lysine et ses esters; sels de ces produits")</f>
        <v xml:space="preserve">   Lysine et ses esters; sels de ces produits</v>
      </c>
      <c r="C496">
        <v>9948290</v>
      </c>
      <c r="D496">
        <v>17135</v>
      </c>
    </row>
    <row r="497" spans="1:4" x14ac:dyDescent="0.25">
      <c r="A497" t="str">
        <f>T("   300210")</f>
        <v xml:space="preserve">   300210</v>
      </c>
      <c r="B497" t="str">
        <f>T("   Antisérums, autres fractions du sang, produits immunologiques modifiés, même obtenus par voie biotechnologique")</f>
        <v xml:space="preserve">   Antisérums, autres fractions du sang, produits immunologiques modifiés, même obtenus par voie biotechnologique</v>
      </c>
      <c r="C497">
        <v>4941379</v>
      </c>
      <c r="D497">
        <v>300</v>
      </c>
    </row>
    <row r="498" spans="1:4" x14ac:dyDescent="0.25">
      <c r="A498" t="str">
        <f>T("   300420")</f>
        <v xml:space="preserve">   300420</v>
      </c>
      <c r="B498" t="s">
        <v>77</v>
      </c>
      <c r="C498">
        <v>2379990</v>
      </c>
      <c r="D498">
        <v>2420</v>
      </c>
    </row>
    <row r="499" spans="1:4" x14ac:dyDescent="0.25">
      <c r="A499" t="str">
        <f>T("   300439")</f>
        <v xml:space="preserve">   300439</v>
      </c>
      <c r="B499" t="s">
        <v>78</v>
      </c>
      <c r="C499">
        <v>6198910</v>
      </c>
      <c r="D499">
        <v>1327</v>
      </c>
    </row>
    <row r="500" spans="1:4" x14ac:dyDescent="0.25">
      <c r="A500" t="str">
        <f>T("   300490")</f>
        <v xml:space="preserve">   300490</v>
      </c>
      <c r="B500" t="s">
        <v>80</v>
      </c>
      <c r="C500">
        <v>992678721</v>
      </c>
      <c r="D500">
        <v>141424</v>
      </c>
    </row>
    <row r="501" spans="1:4" x14ac:dyDescent="0.25">
      <c r="A501" t="str">
        <f>T("   300590")</f>
        <v xml:space="preserve">   300590</v>
      </c>
      <c r="B501" t="s">
        <v>81</v>
      </c>
      <c r="C501">
        <v>3502654</v>
      </c>
      <c r="D501">
        <v>1170.5</v>
      </c>
    </row>
    <row r="502" spans="1:4" x14ac:dyDescent="0.25">
      <c r="A502" t="str">
        <f>T("   310420")</f>
        <v xml:space="preserve">   310420</v>
      </c>
      <c r="B502" t="str">
        <f>T("   Chlorure de potassium, destiné à être utilisé comme engrais (à l'excl. des produits présentés soit en tablettes ou formes simil., soit en emballages d'un poids brut &lt;= 10 kg)")</f>
        <v xml:space="preserve">   Chlorure de potassium, destiné à être utilisé comme engrais (à l'excl. des produits présentés soit en tablettes ou formes simil., soit en emballages d'un poids brut &lt;= 10 kg)</v>
      </c>
      <c r="C502">
        <v>93960000</v>
      </c>
      <c r="D502">
        <v>216000</v>
      </c>
    </row>
    <row r="503" spans="1:4" x14ac:dyDescent="0.25">
      <c r="A503" t="str">
        <f>T("   310520")</f>
        <v xml:space="preserve">   310520</v>
      </c>
      <c r="B503" t="str">
        <f>T("   Engrais minéraux ou chimiques contenant les trois éléments fertilisants : azote, phosphore et potassium (à l'excl. des produits présentés soit en tablettes ou formes simil., soit en emballages d'un poids brut &lt;= 10 kg)")</f>
        <v xml:space="preserve">   Engrais minéraux ou chimiques contenant les trois éléments fertilisants : azote, phosphore et potassium (à l'excl. des produits présentés soit en tablettes ou formes simil., soit en emballages d'un poids brut &lt;= 10 kg)</v>
      </c>
      <c r="C503">
        <v>1900644100</v>
      </c>
      <c r="D503">
        <v>4750000</v>
      </c>
    </row>
    <row r="504" spans="1:4" x14ac:dyDescent="0.25">
      <c r="A504" t="str">
        <f>T("   320290")</f>
        <v xml:space="preserve">   320290</v>
      </c>
      <c r="B504" t="str">
        <f>T("   Produits tannants inorganiques; préparations tannantes, même contenant des produits tannants naturels; préparations enzymatiques pour le prétannage")</f>
        <v xml:space="preserve">   Produits tannants inorganiques; préparations tannantes, même contenant des produits tannants naturels; préparations enzymatiques pour le prétannage</v>
      </c>
      <c r="C504">
        <v>295838</v>
      </c>
      <c r="D504">
        <v>25</v>
      </c>
    </row>
    <row r="505" spans="1:4" x14ac:dyDescent="0.25">
      <c r="A505" t="str">
        <f>T("   320413")</f>
        <v xml:space="preserve">   320413</v>
      </c>
      <c r="B505" t="s">
        <v>88</v>
      </c>
      <c r="C505">
        <v>24103905</v>
      </c>
      <c r="D505">
        <v>3372</v>
      </c>
    </row>
    <row r="506" spans="1:4" x14ac:dyDescent="0.25">
      <c r="A506" t="str">
        <f>T("   320890")</f>
        <v xml:space="preserve">   320890</v>
      </c>
      <c r="B506" t="s">
        <v>97</v>
      </c>
      <c r="C506">
        <v>86232</v>
      </c>
      <c r="D506">
        <v>12</v>
      </c>
    </row>
    <row r="507" spans="1:4" x14ac:dyDescent="0.25">
      <c r="A507" t="str">
        <f>T("   321490")</f>
        <v xml:space="preserve">   321490</v>
      </c>
      <c r="B507" t="str">
        <f>T("   Enduits non réfractaires des types utilisés en maçonnerie")</f>
        <v xml:space="preserve">   Enduits non réfractaires des types utilisés en maçonnerie</v>
      </c>
      <c r="C507">
        <v>2485433</v>
      </c>
      <c r="D507">
        <v>703</v>
      </c>
    </row>
    <row r="508" spans="1:4" x14ac:dyDescent="0.25">
      <c r="A508" t="str">
        <f>T("   321590")</f>
        <v xml:space="preserve">   321590</v>
      </c>
      <c r="B508" t="str">
        <f>T("   Encres à écrire et à dessiner, même concentrées ou sous formes solides")</f>
        <v xml:space="preserve">   Encres à écrire et à dessiner, même concentrées ou sous formes solides</v>
      </c>
      <c r="C508">
        <v>53133</v>
      </c>
      <c r="D508">
        <v>18</v>
      </c>
    </row>
    <row r="509" spans="1:4" x14ac:dyDescent="0.25">
      <c r="A509" t="str">
        <f>T("   330210")</f>
        <v xml:space="preserve">   330210</v>
      </c>
      <c r="B509" t="str">
        <f>T("   Mélanges de substances odoriférantes et mélanges, y.c. les solutions alcooliques, à base d'une ou de plusieurs de ces substances, des types utilisés comme matières de base pour les industries des produits alimentaires et des boissons")</f>
        <v xml:space="preserve">   Mélanges de substances odoriférantes et mélanges, y.c. les solutions alcooliques, à base d'une ou de plusieurs de ces substances, des types utilisés comme matières de base pour les industries des produits alimentaires et des boissons</v>
      </c>
      <c r="C509">
        <v>7091583</v>
      </c>
      <c r="D509">
        <v>2605</v>
      </c>
    </row>
    <row r="510" spans="1:4" x14ac:dyDescent="0.25">
      <c r="A510" t="str">
        <f>T("   330499")</f>
        <v xml:space="preserve">   330499</v>
      </c>
      <c r="B510" t="s">
        <v>101</v>
      </c>
      <c r="C510">
        <v>1458271</v>
      </c>
      <c r="D510">
        <v>1097</v>
      </c>
    </row>
    <row r="511" spans="1:4" x14ac:dyDescent="0.25">
      <c r="A511" t="str">
        <f>T("   330610")</f>
        <v xml:space="preserve">   330610</v>
      </c>
      <c r="B511" t="str">
        <f>T("   Dentifrices, préparés, même des types utilisés par les dentistes")</f>
        <v xml:space="preserve">   Dentifrices, préparés, même des types utilisés par les dentistes</v>
      </c>
      <c r="C511">
        <v>147170</v>
      </c>
      <c r="D511">
        <v>80</v>
      </c>
    </row>
    <row r="512" spans="1:4" x14ac:dyDescent="0.25">
      <c r="A512" t="str">
        <f>T("   330730")</f>
        <v xml:space="preserve">   330730</v>
      </c>
      <c r="B512" t="str">
        <f>T("   Sels parfumés et autres préparations pour bains")</f>
        <v xml:space="preserve">   Sels parfumés et autres préparations pour bains</v>
      </c>
      <c r="C512">
        <v>347659</v>
      </c>
      <c r="D512">
        <v>320</v>
      </c>
    </row>
    <row r="513" spans="1:4" x14ac:dyDescent="0.25">
      <c r="A513" t="str">
        <f>T("   340213")</f>
        <v xml:space="preserve">   340213</v>
      </c>
      <c r="B513" t="str">
        <f>T("   Agents de surface organiques, non ioniques, même conditionnés pour la vente au détail (à l'excl. des savons)")</f>
        <v xml:space="preserve">   Agents de surface organiques, non ioniques, même conditionnés pour la vente au détail (à l'excl. des savons)</v>
      </c>
      <c r="C513">
        <v>12328113</v>
      </c>
      <c r="D513">
        <v>18364</v>
      </c>
    </row>
    <row r="514" spans="1:4" x14ac:dyDescent="0.25">
      <c r="A514" t="str">
        <f>T("   340220")</f>
        <v xml:space="preserve">   340220</v>
      </c>
      <c r="B514" t="s">
        <v>104</v>
      </c>
      <c r="C514">
        <v>6791153</v>
      </c>
      <c r="D514">
        <v>8715</v>
      </c>
    </row>
    <row r="515" spans="1:4" x14ac:dyDescent="0.25">
      <c r="A515" t="str">
        <f>T("   340290")</f>
        <v xml:space="preserve">   340290</v>
      </c>
      <c r="B515" t="s">
        <v>105</v>
      </c>
      <c r="C515">
        <v>192205466</v>
      </c>
      <c r="D515">
        <v>67807</v>
      </c>
    </row>
    <row r="516" spans="1:4" x14ac:dyDescent="0.25">
      <c r="A516" t="str">
        <f>T("   340590")</f>
        <v xml:space="preserve">   340590</v>
      </c>
      <c r="B516" t="str">
        <f>T("   Brillants pour verre ou métaux, même sous forme de papier, ouates, feutres, nontissés, matière plastique ou caoutchouc alvéolaires, imprégnés, enduits ou recouverts de ces préparations")</f>
        <v xml:space="preserve">   Brillants pour verre ou métaux, même sous forme de papier, ouates, feutres, nontissés, matière plastique ou caoutchouc alvéolaires, imprégnés, enduits ou recouverts de ces préparations</v>
      </c>
      <c r="C516">
        <v>149972</v>
      </c>
      <c r="D516">
        <v>122</v>
      </c>
    </row>
    <row r="517" spans="1:4" x14ac:dyDescent="0.25">
      <c r="A517" t="str">
        <f>T("   350520")</f>
        <v xml:space="preserve">   350520</v>
      </c>
      <c r="B517" t="str">
        <f>T("   Colles à base d'amidons ou de fécules, de dextrine ou d'autres amidons ou fécules modifiés (à l'excl. des produits conditionnés pour la vente au détail comme colles et d'un poids net &lt;= 1 kg)")</f>
        <v xml:space="preserve">   Colles à base d'amidons ou de fécules, de dextrine ou d'autres amidons ou fécules modifiés (à l'excl. des produits conditionnés pour la vente au détail comme colles et d'un poids net &lt;= 1 kg)</v>
      </c>
      <c r="C517">
        <v>12196920</v>
      </c>
      <c r="D517">
        <v>17000</v>
      </c>
    </row>
    <row r="518" spans="1:4" x14ac:dyDescent="0.25">
      <c r="A518" t="str">
        <f>T("   350610")</f>
        <v xml:space="preserve">   350610</v>
      </c>
      <c r="B518" t="str">
        <f>T("   Produits de toute espèce à usage de colles ou d'adhésifs, conditionnés pour la vente au détail comme colles ou adhésifs, d'un poids net &lt;= 1 kg")</f>
        <v xml:space="preserve">   Produits de toute espèce à usage de colles ou d'adhésifs, conditionnés pour la vente au détail comme colles ou adhésifs, d'un poids net &lt;= 1 kg</v>
      </c>
      <c r="C518">
        <v>927528</v>
      </c>
      <c r="D518">
        <v>2001</v>
      </c>
    </row>
    <row r="519" spans="1:4" x14ac:dyDescent="0.25">
      <c r="A519" t="str">
        <f>T("   350691")</f>
        <v xml:space="preserve">   350691</v>
      </c>
      <c r="B519" t="str">
        <f>T("   Adhésifs à base de polymères du n° 3901 à 3913 ou de caoutchouc (à l'excl. des produits conditionnés pour la vente au détail comme colles ou adhésifs, d'un poids net &lt;= 1 kg)")</f>
        <v xml:space="preserve">   Adhésifs à base de polymères du n° 3901 à 3913 ou de caoutchouc (à l'excl. des produits conditionnés pour la vente au détail comme colles ou adhésifs, d'un poids net &lt;= 1 kg)</v>
      </c>
      <c r="C519">
        <v>4801627</v>
      </c>
      <c r="D519">
        <v>2080</v>
      </c>
    </row>
    <row r="520" spans="1:4" x14ac:dyDescent="0.25">
      <c r="A520" t="str">
        <f>T("   350699")</f>
        <v xml:space="preserve">   350699</v>
      </c>
      <c r="B520" t="str">
        <f>T("   Colles et autres adhésifs préparés, n.d.a.")</f>
        <v xml:space="preserve">   Colles et autres adhésifs préparés, n.d.a.</v>
      </c>
      <c r="C520">
        <v>2521182</v>
      </c>
      <c r="D520">
        <v>2668</v>
      </c>
    </row>
    <row r="521" spans="1:4" x14ac:dyDescent="0.25">
      <c r="A521" t="str">
        <f>T("   370390")</f>
        <v xml:space="preserve">   370390</v>
      </c>
      <c r="B521" t="str">
        <f>T("   PAPIERS, CARTONS ET TEXTILES, PHOTOGRAPHIQUES, SENSIBILISÉS, NON-IMPRESSIONNÉS, POUR LA PHOTOGRAPHIE EN MONOCHROME (À L'EXCL. DES PRODUITS EN ROULEAUX D'UNE LARGEUR &gt; 610 MM)")</f>
        <v xml:space="preserve">   PAPIERS, CARTONS ET TEXTILES, PHOTOGRAPHIQUES, SENSIBILISÉS, NON-IMPRESSIONNÉS, POUR LA PHOTOGRAPHIE EN MONOCHROME (À L'EXCL. DES PRODUITS EN ROULEAUX D'UNE LARGEUR &gt; 610 MM)</v>
      </c>
      <c r="C521">
        <v>560190</v>
      </c>
      <c r="D521">
        <v>1945</v>
      </c>
    </row>
    <row r="522" spans="1:4" x14ac:dyDescent="0.25">
      <c r="A522" t="str">
        <f>T("   370590")</f>
        <v xml:space="preserve">   370590</v>
      </c>
      <c r="B522" t="str">
        <f>T("   PLAQUES ET PELLICULES, PHOTOGRAPHIQUES, IMPRESSIONNÉES ET DÉVELOPPÉES (À L'EXCL. DES FILMS CINÉMATOGRAPHIQUES, DES PELLICULES POUR LA REPRODUCTION OFFSET AINSI QUE DES PRODUITS EN PAPIER, EN CARTON OU EN MATIÈRES TEXTILES)")</f>
        <v xml:space="preserve">   PLAQUES ET PELLICULES, PHOTOGRAPHIQUES, IMPRESSIONNÉES ET DÉVELOPPÉES (À L'EXCL. DES FILMS CINÉMATOGRAPHIQUES, DES PELLICULES POUR LA REPRODUCTION OFFSET AINSI QUE DES PRODUITS EN PAPIER, EN CARTON OU EN MATIÈRES TEXTILES)</v>
      </c>
      <c r="C522">
        <v>2625000</v>
      </c>
      <c r="D522">
        <v>4769</v>
      </c>
    </row>
    <row r="523" spans="1:4" x14ac:dyDescent="0.25">
      <c r="A523" t="str">
        <f>T("   370790")</f>
        <v xml:space="preserve">   370790</v>
      </c>
      <c r="B523" t="s">
        <v>118</v>
      </c>
      <c r="C523">
        <v>2208591</v>
      </c>
      <c r="D523">
        <v>7778</v>
      </c>
    </row>
    <row r="524" spans="1:4" x14ac:dyDescent="0.25">
      <c r="A524" t="str">
        <f>T("   380520")</f>
        <v xml:space="preserve">   380520</v>
      </c>
      <c r="B524" t="str">
        <f>T("   Huile de pin contenant l'alpha-terpinéol comme constituant principal")</f>
        <v xml:space="preserve">   Huile de pin contenant l'alpha-terpinéol comme constituant principal</v>
      </c>
      <c r="C524">
        <v>372762</v>
      </c>
      <c r="D524">
        <v>185</v>
      </c>
    </row>
    <row r="525" spans="1:4" x14ac:dyDescent="0.25">
      <c r="A525" t="str">
        <f>T("   380590")</f>
        <v xml:space="preserve">   380590</v>
      </c>
      <c r="B525" t="s">
        <v>119</v>
      </c>
      <c r="C525">
        <v>1318480</v>
      </c>
      <c r="D525">
        <v>589</v>
      </c>
    </row>
    <row r="526" spans="1:4" x14ac:dyDescent="0.25">
      <c r="A526" t="str">
        <f>T("   380810")</f>
        <v xml:space="preserve">   380810</v>
      </c>
      <c r="B526" t="str">
        <f>T("   Insecticides présentés dans des formes ou emballages de vente au détail ou à l'état de préparations ou sous forme d'articles")</f>
        <v xml:space="preserve">   Insecticides présentés dans des formes ou emballages de vente au détail ou à l'état de préparations ou sous forme d'articles</v>
      </c>
      <c r="C526">
        <v>280894</v>
      </c>
      <c r="D526">
        <v>250</v>
      </c>
    </row>
    <row r="527" spans="1:4" x14ac:dyDescent="0.25">
      <c r="A527" t="str">
        <f>T("   380840")</f>
        <v xml:space="preserve">   380840</v>
      </c>
      <c r="B527" t="str">
        <f>T("   Désinfectants et produits simil., présentés dans des formes ou emballages de vente au détail ou à l'état de préparations ou sous forme d'articles")</f>
        <v xml:space="preserve">   Désinfectants et produits simil., présentés dans des formes ou emballages de vente au détail ou à l'état de préparations ou sous forme d'articles</v>
      </c>
      <c r="C527">
        <v>15228112</v>
      </c>
      <c r="D527">
        <v>12357</v>
      </c>
    </row>
    <row r="528" spans="1:4" x14ac:dyDescent="0.25">
      <c r="A528" t="str">
        <f>T("   380890")</f>
        <v xml:space="preserve">   380890</v>
      </c>
      <c r="B528" t="str">
        <f>T("   Antirongeurs et autres produits phytosanitaires, présentés dans des formes ou emballages de vente au détail ou à l'état de préparations ou sous forme d'articles (à l'excl. des insecticides, des fongicides, des herbicides et des désinfectants)")</f>
        <v xml:space="preserve">   Antirongeurs et autres produits phytosanitaires, présentés dans des formes ou emballages de vente au détail ou à l'état de préparations ou sous forme d'articles (à l'excl. des insecticides, des fongicides, des herbicides et des désinfectants)</v>
      </c>
      <c r="C528">
        <v>16167447</v>
      </c>
      <c r="D528">
        <v>5085</v>
      </c>
    </row>
    <row r="529" spans="1:4" x14ac:dyDescent="0.25">
      <c r="A529" t="str">
        <f>T("   380991")</f>
        <v xml:space="preserve">   380991</v>
      </c>
      <c r="B529" t="s">
        <v>121</v>
      </c>
      <c r="C529">
        <v>2766184</v>
      </c>
      <c r="D529">
        <v>745</v>
      </c>
    </row>
    <row r="530" spans="1:4" x14ac:dyDescent="0.25">
      <c r="A530" t="str">
        <f>T("   381190")</f>
        <v xml:space="preserve">   381190</v>
      </c>
      <c r="B530" t="s">
        <v>124</v>
      </c>
      <c r="C530">
        <v>262115</v>
      </c>
      <c r="D530">
        <v>105</v>
      </c>
    </row>
    <row r="531" spans="1:4" x14ac:dyDescent="0.25">
      <c r="A531" t="str">
        <f>T("   381230")</f>
        <v xml:space="preserve">   381230</v>
      </c>
      <c r="B531" t="str">
        <f>T("   Préparations antioxydantes et autres stabilisateurs composites pour caoutchouc ou matières plastiques")</f>
        <v xml:space="preserve">   Préparations antioxydantes et autres stabilisateurs composites pour caoutchouc ou matières plastiques</v>
      </c>
      <c r="C531">
        <v>4846541</v>
      </c>
      <c r="D531">
        <v>5000</v>
      </c>
    </row>
    <row r="532" spans="1:4" x14ac:dyDescent="0.25">
      <c r="A532" t="str">
        <f>T("   381400")</f>
        <v xml:space="preserve">   381400</v>
      </c>
      <c r="B532" t="str">
        <f>T("   Solvants et diluants organiques composites, n.d.a.; préparations conçues pour enlever les peintures ou les vernis (à l'excl. des dissolvants pour vernis à ongles)")</f>
        <v xml:space="preserve">   Solvants et diluants organiques composites, n.d.a.; préparations conçues pour enlever les peintures ou les vernis (à l'excl. des dissolvants pour vernis à ongles)</v>
      </c>
      <c r="C532">
        <v>2141710</v>
      </c>
      <c r="D532">
        <v>3500</v>
      </c>
    </row>
    <row r="533" spans="1:4" x14ac:dyDescent="0.25">
      <c r="A533" t="str">
        <f>T("   381519")</f>
        <v xml:space="preserve">   381519</v>
      </c>
      <c r="B533" t="str">
        <f>T("   Catalyseurs supportés, n.d.a. (sauf ayant comme substance active le nickel, un métal précieux ou un composé de ces métaux)")</f>
        <v xml:space="preserve">   Catalyseurs supportés, n.d.a. (sauf ayant comme substance active le nickel, un métal précieux ou un composé de ces métaux)</v>
      </c>
      <c r="C533">
        <v>2371952</v>
      </c>
      <c r="D533">
        <v>210</v>
      </c>
    </row>
    <row r="534" spans="1:4" x14ac:dyDescent="0.25">
      <c r="A534" t="str">
        <f>T("   381900")</f>
        <v xml:space="preserve">   381900</v>
      </c>
      <c r="B534" t="str">
        <f>T("   Liquides pour freins hydrauliques et autres liquides préparés pour transmissions hydrauliques, ne contenant ni huiles de pétrole ni huiles de minéraux bitumineux ou en contenant &lt; 70% en poids")</f>
        <v xml:space="preserve">   Liquides pour freins hydrauliques et autres liquides préparés pour transmissions hydrauliques, ne contenant ni huiles de pétrole ni huiles de minéraux bitumineux ou en contenant &lt; 70% en poids</v>
      </c>
      <c r="C534">
        <v>411943</v>
      </c>
      <c r="D534">
        <v>130</v>
      </c>
    </row>
    <row r="535" spans="1:4" x14ac:dyDescent="0.25">
      <c r="A535" t="str">
        <f>T("   382200")</f>
        <v xml:space="preserve">   382200</v>
      </c>
      <c r="B535" t="s">
        <v>126</v>
      </c>
      <c r="C535">
        <v>144506921</v>
      </c>
      <c r="D535">
        <v>4612</v>
      </c>
    </row>
    <row r="536" spans="1:4" x14ac:dyDescent="0.25">
      <c r="A536" t="str">
        <f>T("   382440")</f>
        <v xml:space="preserve">   382440</v>
      </c>
      <c r="B536" t="str">
        <f>T("   Additifs préparés pour ciments, mortiers ou bétons")</f>
        <v xml:space="preserve">   Additifs préparés pour ciments, mortiers ou bétons</v>
      </c>
      <c r="C536">
        <v>29163982</v>
      </c>
      <c r="D536">
        <v>20250</v>
      </c>
    </row>
    <row r="537" spans="1:4" x14ac:dyDescent="0.25">
      <c r="A537" t="str">
        <f>T("   382450")</f>
        <v xml:space="preserve">   382450</v>
      </c>
      <c r="B537" t="str">
        <f>T("   MORTIERS ET BÉTONS, NON-RÉFRACTAIRES")</f>
        <v xml:space="preserve">   MORTIERS ET BÉTONS, NON-RÉFRACTAIRES</v>
      </c>
      <c r="C537">
        <v>3542</v>
      </c>
      <c r="D537">
        <v>75</v>
      </c>
    </row>
    <row r="538" spans="1:4" x14ac:dyDescent="0.25">
      <c r="A538" t="str">
        <f>T("   382490")</f>
        <v xml:space="preserve">   382490</v>
      </c>
      <c r="B538" t="str">
        <f>T("   Produits chimiques et préparations des industries chimiques ou des industries connexes, y.c. celles consistant en mélanges de produits naturels, n.d.a.")</f>
        <v xml:space="preserve">   Produits chimiques et préparations des industries chimiques ou des industries connexes, y.c. celles consistant en mélanges de produits naturels, n.d.a.</v>
      </c>
      <c r="C538">
        <v>1538954</v>
      </c>
      <c r="D538">
        <v>722</v>
      </c>
    </row>
    <row r="539" spans="1:4" x14ac:dyDescent="0.25">
      <c r="A539" t="str">
        <f>T("   390690")</f>
        <v xml:space="preserve">   390690</v>
      </c>
      <c r="B539" t="str">
        <f>T("   Polymères acryliques, sous formes primaires (à l'excl. du poly[méthacrylate de méthyle])")</f>
        <v xml:space="preserve">   Polymères acryliques, sous formes primaires (à l'excl. du poly[méthacrylate de méthyle])</v>
      </c>
      <c r="C539">
        <v>36990239</v>
      </c>
      <c r="D539">
        <v>16805</v>
      </c>
    </row>
    <row r="540" spans="1:4" x14ac:dyDescent="0.25">
      <c r="A540" t="str">
        <f>T("   390720")</f>
        <v xml:space="preserve">   390720</v>
      </c>
      <c r="B540" t="str">
        <f>T("   Polyéthers, sous formes primaires (à l'excl. des polyacétals)")</f>
        <v xml:space="preserve">   Polyéthers, sous formes primaires (à l'excl. des polyacétals)</v>
      </c>
      <c r="C540">
        <v>109804424</v>
      </c>
      <c r="D540">
        <v>105000</v>
      </c>
    </row>
    <row r="541" spans="1:4" x14ac:dyDescent="0.25">
      <c r="A541" t="str">
        <f>T("   390730")</f>
        <v xml:space="preserve">   390730</v>
      </c>
      <c r="B541" t="str">
        <f>T("   Résines époxydes, sous formes primaires")</f>
        <v xml:space="preserve">   Résines époxydes, sous formes primaires</v>
      </c>
      <c r="C541">
        <v>15883540</v>
      </c>
      <c r="D541">
        <v>900</v>
      </c>
    </row>
    <row r="542" spans="1:4" x14ac:dyDescent="0.25">
      <c r="A542" t="str">
        <f>T("   390750")</f>
        <v xml:space="preserve">   390750</v>
      </c>
      <c r="B542" t="str">
        <f>T("   Résines alkydes, sous formes primaires")</f>
        <v xml:space="preserve">   Résines alkydes, sous formes primaires</v>
      </c>
      <c r="C542">
        <v>12714472</v>
      </c>
      <c r="D542">
        <v>8400</v>
      </c>
    </row>
    <row r="543" spans="1:4" x14ac:dyDescent="0.25">
      <c r="A543" t="str">
        <f>T("   390799")</f>
        <v xml:space="preserve">   390799</v>
      </c>
      <c r="B543" t="str">
        <f>T("   POLYESTERS, SATURÉS, SOUS FORMES PRIMAIRES (À L'EXCL. DES POLYCARBONATES, DES RÉSINES ALKYDES ET DU POLY[ÉTHYLÈNE TÉRÉPHTALATE]) [01/01/1988-31/12/1993: POLYESTERS ALLYLIQUES ET AUTRES POLYESTERS, SATURÉS, SOUS FORMES PRIMAIRES]")</f>
        <v xml:space="preserve">   POLYESTERS, SATURÉS, SOUS FORMES PRIMAIRES (À L'EXCL. DES POLYCARBONATES, DES RÉSINES ALKYDES ET DU POLY[ÉTHYLÈNE TÉRÉPHTALATE]) [01/01/1988-31/12/1993: POLYESTERS ALLYLIQUES ET AUTRES POLYESTERS, SATURÉS, SOUS FORMES PRIMAIRES]</v>
      </c>
      <c r="C543">
        <v>40292342</v>
      </c>
      <c r="D543">
        <v>21259</v>
      </c>
    </row>
    <row r="544" spans="1:4" x14ac:dyDescent="0.25">
      <c r="A544" t="str">
        <f>T("   391000")</f>
        <v xml:space="preserve">   391000</v>
      </c>
      <c r="B544" t="str">
        <f>T("   Silicones sous formes primaires")</f>
        <v xml:space="preserve">   Silicones sous formes primaires</v>
      </c>
      <c r="C544">
        <v>2674533</v>
      </c>
      <c r="D544">
        <v>262</v>
      </c>
    </row>
    <row r="545" spans="1:4" x14ac:dyDescent="0.25">
      <c r="A545" t="str">
        <f>T("   391239")</f>
        <v xml:space="preserve">   391239</v>
      </c>
      <c r="B545" t="str">
        <f>T("   ÉTHERS DE CELLULOSE, SOUS FORMES PRIMAIRES (À L'EXCL. DE LA CARBOXYMÉTHYLCELLULOSE ET DE SES SELS)")</f>
        <v xml:space="preserve">   ÉTHERS DE CELLULOSE, SOUS FORMES PRIMAIRES (À L'EXCL. DE LA CARBOXYMÉTHYLCELLULOSE ET DE SES SELS)</v>
      </c>
      <c r="C545">
        <v>24481083</v>
      </c>
      <c r="D545">
        <v>6000</v>
      </c>
    </row>
    <row r="546" spans="1:4" x14ac:dyDescent="0.25">
      <c r="A546" t="str">
        <f>T("   391290")</f>
        <v xml:space="preserve">   391290</v>
      </c>
      <c r="B546" t="str">
        <f>T("   Cellulose et ses dérivés chimiques, n.d.a., sous formes primaires (à l'excl. des acétates, nitrates et éthers de cellulose)")</f>
        <v xml:space="preserve">   Cellulose et ses dérivés chimiques, n.d.a., sous formes primaires (à l'excl. des acétates, nitrates et éthers de cellulose)</v>
      </c>
      <c r="C546">
        <v>747794</v>
      </c>
      <c r="D546">
        <v>1302</v>
      </c>
    </row>
    <row r="547" spans="1:4" x14ac:dyDescent="0.25">
      <c r="A547" t="str">
        <f>T("   391729")</f>
        <v xml:space="preserve">   391729</v>
      </c>
      <c r="B547" t="str">
        <f>T("   TUBES ET TUYAUX RIGIDES, EN MATIÈRES PLASTIQUES (À L'EXCL. DES TUBES ET TUYAUX EN POLYMÈRES DE L'ÉTHYLÈNE, DU PROPYLÈNE OU DU CHLORURE DE VINYLE)")</f>
        <v xml:space="preserve">   TUBES ET TUYAUX RIGIDES, EN MATIÈRES PLASTIQUES (À L'EXCL. DES TUBES ET TUYAUX EN POLYMÈRES DE L'ÉTHYLÈNE, DU PROPYLÈNE OU DU CHLORURE DE VINYLE)</v>
      </c>
      <c r="C547">
        <v>127912</v>
      </c>
      <c r="D547">
        <v>50</v>
      </c>
    </row>
    <row r="548" spans="1:4" x14ac:dyDescent="0.25">
      <c r="A548" t="str">
        <f>T("   391739")</f>
        <v xml:space="preserve">   391739</v>
      </c>
      <c r="B548" t="str">
        <f>T("   TUBES ET TUYAUX SOUPLES, EN MATIÈRES PLASTIQUES, RENFORCÉS D'AUTRES MATIÈRES OU ASSOCIÉS À D'AUTRES MATIÈRES (À L'EXCL. DES PRODUITS POUVANT SUPPORTER UNE PRESSION &gt;= 27,6 MPA)")</f>
        <v xml:space="preserve">   TUBES ET TUYAUX SOUPLES, EN MATIÈRES PLASTIQUES, RENFORCÉS D'AUTRES MATIÈRES OU ASSOCIÉS À D'AUTRES MATIÈRES (À L'EXCL. DES PRODUITS POUVANT SUPPORTER UNE PRESSION &gt;= 27,6 MPA)</v>
      </c>
      <c r="C548">
        <v>1902975</v>
      </c>
      <c r="D548">
        <v>1040</v>
      </c>
    </row>
    <row r="549" spans="1:4" x14ac:dyDescent="0.25">
      <c r="A549" t="str">
        <f>T("   391890")</f>
        <v xml:space="preserve">   391890</v>
      </c>
      <c r="B549" t="s">
        <v>132</v>
      </c>
      <c r="C549">
        <v>30000</v>
      </c>
      <c r="D549">
        <v>400</v>
      </c>
    </row>
    <row r="550" spans="1:4" x14ac:dyDescent="0.25">
      <c r="A550" t="str">
        <f>T("   391910")</f>
        <v xml:space="preserve">   391910</v>
      </c>
      <c r="B550" t="str">
        <f>T("   Feuilles, bandes, rubans, pellicules et autres formes plates, auto-adhésifs, en matières plastiques, en rouleaux d'une largeur &lt;= 20 cm")</f>
        <v xml:space="preserve">   Feuilles, bandes, rubans, pellicules et autres formes plates, auto-adhésifs, en matières plastiques, en rouleaux d'une largeur &lt;= 20 cm</v>
      </c>
      <c r="C550">
        <v>75566</v>
      </c>
      <c r="D550">
        <v>6</v>
      </c>
    </row>
    <row r="551" spans="1:4" x14ac:dyDescent="0.25">
      <c r="A551" t="str">
        <f>T("   392321")</f>
        <v xml:space="preserve">   392321</v>
      </c>
      <c r="B551" t="str">
        <f>T("   Sacs, sachets, pochettes et cornets, en polymères de l'éthylène")</f>
        <v xml:space="preserve">   Sacs, sachets, pochettes et cornets, en polymères de l'éthylène</v>
      </c>
      <c r="C551">
        <v>1138746</v>
      </c>
      <c r="D551">
        <v>1459</v>
      </c>
    </row>
    <row r="552" spans="1:4" x14ac:dyDescent="0.25">
      <c r="A552" t="str">
        <f>T("   392329")</f>
        <v xml:space="preserve">   392329</v>
      </c>
      <c r="B552" t="str">
        <f>T("   Sacs, sachets, pochettes et cornets, en matières plastiques (autres que les polymères de l'éthylène)")</f>
        <v xml:space="preserve">   Sacs, sachets, pochettes et cornets, en matières plastiques (autres que les polymères de l'éthylène)</v>
      </c>
      <c r="C552">
        <v>1876881</v>
      </c>
      <c r="D552">
        <v>12386</v>
      </c>
    </row>
    <row r="553" spans="1:4" x14ac:dyDescent="0.25">
      <c r="A553" t="str">
        <f>T("   392330")</f>
        <v xml:space="preserve">   392330</v>
      </c>
      <c r="B553" t="str">
        <f>T("   Bonbonnes, bouteilles, flacons et articles simil. pour le transport ou l'emballage, en matières plastiques")</f>
        <v xml:space="preserve">   Bonbonnes, bouteilles, flacons et articles simil. pour le transport ou l'emballage, en matières plastiques</v>
      </c>
      <c r="C553">
        <v>1302736</v>
      </c>
      <c r="D553">
        <v>382</v>
      </c>
    </row>
    <row r="554" spans="1:4" x14ac:dyDescent="0.25">
      <c r="A554" t="str">
        <f>T("   392350")</f>
        <v xml:space="preserve">   392350</v>
      </c>
      <c r="B554" t="str">
        <f>T("   Bouchons, couvercles, capsules et autres dispositifs de fermeture, en matières plastiques")</f>
        <v xml:space="preserve">   Bouchons, couvercles, capsules et autres dispositifs de fermeture, en matières plastiques</v>
      </c>
      <c r="C554">
        <v>142344</v>
      </c>
      <c r="D554">
        <v>2</v>
      </c>
    </row>
    <row r="555" spans="1:4" x14ac:dyDescent="0.25">
      <c r="A555" t="str">
        <f>T("   392390")</f>
        <v xml:space="preserve">   392390</v>
      </c>
      <c r="B555" t="s">
        <v>150</v>
      </c>
      <c r="C555">
        <v>510000</v>
      </c>
      <c r="D555">
        <v>2800</v>
      </c>
    </row>
    <row r="556" spans="1:4" x14ac:dyDescent="0.25">
      <c r="A556" t="str">
        <f>T("   392490")</f>
        <v xml:space="preserve">   392490</v>
      </c>
      <c r="B556" t="s">
        <v>151</v>
      </c>
      <c r="C556">
        <v>1625279</v>
      </c>
      <c r="D556">
        <v>1813</v>
      </c>
    </row>
    <row r="557" spans="1:4" x14ac:dyDescent="0.25">
      <c r="A557" t="str">
        <f>T("   392520")</f>
        <v xml:space="preserve">   392520</v>
      </c>
      <c r="B557" t="str">
        <f>T("   Portes, fenêtres et leurs cadres, chambranles et seuils, en matières plastiques")</f>
        <v xml:space="preserve">   Portes, fenêtres et leurs cadres, chambranles et seuils, en matières plastiques</v>
      </c>
      <c r="C557">
        <v>5243088</v>
      </c>
      <c r="D557">
        <v>15000</v>
      </c>
    </row>
    <row r="558" spans="1:4" x14ac:dyDescent="0.25">
      <c r="A558" t="str">
        <f>T("   392590")</f>
        <v xml:space="preserve">   392590</v>
      </c>
      <c r="B558" t="s">
        <v>152</v>
      </c>
      <c r="C558">
        <v>1009175</v>
      </c>
      <c r="D558">
        <v>473</v>
      </c>
    </row>
    <row r="559" spans="1:4" x14ac:dyDescent="0.25">
      <c r="A559" t="str">
        <f>T("   392610")</f>
        <v xml:space="preserve">   392610</v>
      </c>
      <c r="B559" t="str">
        <f>T("   Articles de bureau et articles scolaires, en matières plastiques, n.d.a.")</f>
        <v xml:space="preserve">   Articles de bureau et articles scolaires, en matières plastiques, n.d.a.</v>
      </c>
      <c r="C559">
        <v>2186157</v>
      </c>
      <c r="D559">
        <v>6603</v>
      </c>
    </row>
    <row r="560" spans="1:4" x14ac:dyDescent="0.25">
      <c r="A560" t="str">
        <f>T("   392690")</f>
        <v xml:space="preserve">   392690</v>
      </c>
      <c r="B560" t="str">
        <f>T("   Ouvrages en matières plastiques et ouvrages en autres matières du n° 3901 à 3914, n.d.a.")</f>
        <v xml:space="preserve">   Ouvrages en matières plastiques et ouvrages en autres matières du n° 3901 à 3914, n.d.a.</v>
      </c>
      <c r="C560">
        <v>3453870</v>
      </c>
      <c r="D560">
        <v>5910</v>
      </c>
    </row>
    <row r="561" spans="1:4" x14ac:dyDescent="0.25">
      <c r="A561" t="str">
        <f>T("   400211")</f>
        <v xml:space="preserve">   400211</v>
      </c>
      <c r="B561" t="str">
        <f>T("   Latex de caoutchouc styrène-butadiène [SBR] ou de caoutchouc styrène-butadiène carboxylé [XSBR]")</f>
        <v xml:space="preserve">   Latex de caoutchouc styrène-butadiène [SBR] ou de caoutchouc styrène-butadiène carboxylé [XSBR]</v>
      </c>
      <c r="C561">
        <v>3542</v>
      </c>
      <c r="D561">
        <v>25</v>
      </c>
    </row>
    <row r="562" spans="1:4" x14ac:dyDescent="0.25">
      <c r="A562" t="str">
        <f>T("   400911")</f>
        <v xml:space="preserve">   400911</v>
      </c>
      <c r="B562" t="str">
        <f>T("   Tubes et tuyaux en caoutchouc vulcanisé non durci, non renforcés à l'aide d'autres matières ni autrement associés à d'autres matières, sans accessoires")</f>
        <v xml:space="preserve">   Tubes et tuyaux en caoutchouc vulcanisé non durci, non renforcés à l'aide d'autres matières ni autrement associés à d'autres matières, sans accessoires</v>
      </c>
      <c r="C562">
        <v>3914113</v>
      </c>
      <c r="D562">
        <v>162.5</v>
      </c>
    </row>
    <row r="563" spans="1:4" x14ac:dyDescent="0.25">
      <c r="A563" t="str">
        <f>T("   400912")</f>
        <v xml:space="preserve">   400912</v>
      </c>
      <c r="B563" t="str">
        <f>T("   TUBES ET TUYAUX EN CAOUTCHOUC VULCANISÉ NON DURCI, NON RENFORCÉS À L'AIDE D'AUTRES MATIÈRES NI AUTREMENT ASSOCIÉS À D'AUTRES MATIÈRES, AVEC ACCESSOIRES [JOINTS, COUDES, RACCORDS, PAR EXEMPLE]")</f>
        <v xml:space="preserve">   TUBES ET TUYAUX EN CAOUTCHOUC VULCANISÉ NON DURCI, NON RENFORCÉS À L'AIDE D'AUTRES MATIÈRES NI AUTREMENT ASSOCIÉS À D'AUTRES MATIÈRES, AVEC ACCESSOIRES [JOINTS, COUDES, RACCORDS, PAR EXEMPLE]</v>
      </c>
      <c r="C563">
        <v>29232621</v>
      </c>
      <c r="D563">
        <v>1104</v>
      </c>
    </row>
    <row r="564" spans="1:4" x14ac:dyDescent="0.25">
      <c r="A564" t="str">
        <f>T("   400921")</f>
        <v xml:space="preserve">   400921</v>
      </c>
      <c r="B564" t="str">
        <f>T("   Tubes et tuyaux en caoutchouc vulcanisé non durci, renforcés seulement à l'aide de métal ou autrement associés seulement à du métal, sans accessoires")</f>
        <v xml:space="preserve">   Tubes et tuyaux en caoutchouc vulcanisé non durci, renforcés seulement à l'aide de métal ou autrement associés seulement à du métal, sans accessoires</v>
      </c>
      <c r="C564">
        <v>3062677</v>
      </c>
      <c r="D564">
        <v>101</v>
      </c>
    </row>
    <row r="565" spans="1:4" x14ac:dyDescent="0.25">
      <c r="A565" t="str">
        <f>T("   400922")</f>
        <v xml:space="preserve">   400922</v>
      </c>
      <c r="B565" t="str">
        <f>T("   TUBES ET TUYAUX EN CAOUTCHOUC VULCANISÉ NON DURCI, RENFORCÉS SEULEMENT À L'AIDE DE MÉTAL OU AUTREMENT ASSOCIÉS SEULEMENT À DU MÉTAL, AVEC ACCESSOIRES [JOINTS, COUDES, RACCORDS, PAR EXEMPLE]")</f>
        <v xml:space="preserve">   TUBES ET TUYAUX EN CAOUTCHOUC VULCANISÉ NON DURCI, RENFORCÉS SEULEMENT À L'AIDE DE MÉTAL OU AUTREMENT ASSOCIÉS SEULEMENT À DU MÉTAL, AVEC ACCESSOIRES [JOINTS, COUDES, RACCORDS, PAR EXEMPLE]</v>
      </c>
      <c r="C565">
        <v>27170519</v>
      </c>
      <c r="D565">
        <v>2400</v>
      </c>
    </row>
    <row r="566" spans="1:4" x14ac:dyDescent="0.25">
      <c r="A566" t="str">
        <f>T("   401012")</f>
        <v xml:space="preserve">   401012</v>
      </c>
      <c r="B566" t="str">
        <f>T("   Courroies transporteuses, en caoutchouc vulcanisé, renforcées seulement de matières textiles")</f>
        <v xml:space="preserve">   Courroies transporteuses, en caoutchouc vulcanisé, renforcées seulement de matières textiles</v>
      </c>
      <c r="C566">
        <v>2033476</v>
      </c>
      <c r="D566">
        <v>370</v>
      </c>
    </row>
    <row r="567" spans="1:4" x14ac:dyDescent="0.25">
      <c r="A567" t="str">
        <f>T("   401019")</f>
        <v xml:space="preserve">   401019</v>
      </c>
      <c r="B567" t="str">
        <f>T("   Courroies transporteuses, en caoutchouc vulcanisé (à l'excl. des produits renforcés seulement de métal, de matières textiles ou de matières plastiques)")</f>
        <v xml:space="preserve">   Courroies transporteuses, en caoutchouc vulcanisé (à l'excl. des produits renforcés seulement de métal, de matières textiles ou de matières plastiques)</v>
      </c>
      <c r="C567">
        <v>188261</v>
      </c>
      <c r="D567">
        <v>14</v>
      </c>
    </row>
    <row r="568" spans="1:4" x14ac:dyDescent="0.25">
      <c r="A568" t="str">
        <f>T("   401039")</f>
        <v xml:space="preserve">   401039</v>
      </c>
      <c r="B568" t="s">
        <v>157</v>
      </c>
      <c r="C568">
        <v>3551367</v>
      </c>
      <c r="D568">
        <v>101</v>
      </c>
    </row>
    <row r="569" spans="1:4" x14ac:dyDescent="0.25">
      <c r="A569" t="str">
        <f>T("   401110")</f>
        <v xml:space="preserve">   401110</v>
      </c>
      <c r="B569"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569">
        <v>16950224</v>
      </c>
      <c r="D569">
        <v>9130</v>
      </c>
    </row>
    <row r="570" spans="1:4" x14ac:dyDescent="0.25">
      <c r="A570" t="str">
        <f>T("   401120")</f>
        <v xml:space="preserve">   401120</v>
      </c>
      <c r="B570"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570">
        <v>8680319</v>
      </c>
      <c r="D570">
        <v>7068</v>
      </c>
    </row>
    <row r="571" spans="1:4" x14ac:dyDescent="0.25">
      <c r="A571" t="str">
        <f>T("   401211")</f>
        <v xml:space="preserve">   401211</v>
      </c>
      <c r="B571" t="str">
        <f>T("   Pneumatiques rechapés, en caoutchouc, des types utilisés pour les voitures de tourisme, y.c. les voitures du type 'break' et les voitures de course")</f>
        <v xml:space="preserve">   Pneumatiques rechapés, en caoutchouc, des types utilisés pour les voitures de tourisme, y.c. les voitures du type 'break' et les voitures de course</v>
      </c>
      <c r="C571">
        <v>70600821</v>
      </c>
      <c r="D571">
        <v>193240</v>
      </c>
    </row>
    <row r="572" spans="1:4" x14ac:dyDescent="0.25">
      <c r="A572" t="str">
        <f>T("   401220")</f>
        <v xml:space="preserve">   401220</v>
      </c>
      <c r="B572" t="str">
        <f>T("   Pneumatiques usagés, en caoutchouc")</f>
        <v xml:space="preserve">   Pneumatiques usagés, en caoutchouc</v>
      </c>
      <c r="C572">
        <v>251236068</v>
      </c>
      <c r="D572">
        <v>677693</v>
      </c>
    </row>
    <row r="573" spans="1:4" x14ac:dyDescent="0.25">
      <c r="A573" t="str">
        <f>T("   401290")</f>
        <v xml:space="preserve">   401290</v>
      </c>
      <c r="B573" t="str">
        <f>T("   Bandages pleins ou creux [mi-pleins], bandes de roulement amovibles pour pneumatiques et flaps, en caoutchouc")</f>
        <v xml:space="preserve">   Bandages pleins ou creux [mi-pleins], bandes de roulement amovibles pour pneumatiques et flaps, en caoutchouc</v>
      </c>
      <c r="C573">
        <v>68469107</v>
      </c>
      <c r="D573">
        <v>171535</v>
      </c>
    </row>
    <row r="574" spans="1:4" x14ac:dyDescent="0.25">
      <c r="A574" t="str">
        <f>T("   401310")</f>
        <v xml:space="preserve">   401310</v>
      </c>
      <c r="B574" t="str">
        <f>T("   Chambres à air, en caoutchouc, des types utilisés pour les voitures de tourisme [y.c. les voitures du type 'break' et les voitures de course], les autobus ou les camions")</f>
        <v xml:space="preserve">   Chambres à air, en caoutchouc, des types utilisés pour les voitures de tourisme [y.c. les voitures du type 'break' et les voitures de course], les autobus ou les camions</v>
      </c>
      <c r="C574">
        <v>1740790</v>
      </c>
      <c r="D574">
        <v>6033</v>
      </c>
    </row>
    <row r="575" spans="1:4" x14ac:dyDescent="0.25">
      <c r="A575" t="str">
        <f>T("   401390")</f>
        <v xml:space="preserve">   401390</v>
      </c>
      <c r="B575" t="str">
        <f>T("   Chambres à air, en caoutchouc (à l'excl. des chambres à air des types utilisés pour les voitures de tourisme, les voitures du type 'break', les voitures de course, les autobus, les camions et les bicyclettes)")</f>
        <v xml:space="preserve">   Chambres à air, en caoutchouc (à l'excl. des chambres à air des types utilisés pour les voitures de tourisme, les voitures du type 'break', les voitures de course, les autobus, les camions et les bicyclettes)</v>
      </c>
      <c r="C575">
        <v>3290299</v>
      </c>
      <c r="D575">
        <v>21785</v>
      </c>
    </row>
    <row r="576" spans="1:4" x14ac:dyDescent="0.25">
      <c r="A576" t="str">
        <f>T("   401410")</f>
        <v xml:space="preserve">   401410</v>
      </c>
      <c r="B576" t="str">
        <f>T("   Préservatifs en caoutchouc vulcanisé non durci")</f>
        <v xml:space="preserve">   Préservatifs en caoutchouc vulcanisé non durci</v>
      </c>
      <c r="C576">
        <v>1781093</v>
      </c>
      <c r="D576">
        <v>1701</v>
      </c>
    </row>
    <row r="577" spans="1:4" x14ac:dyDescent="0.25">
      <c r="A577" t="str">
        <f>T("   401693")</f>
        <v xml:space="preserve">   401693</v>
      </c>
      <c r="B577" t="str">
        <f>T("   Joints en caoutchouc vulcanisé non durci (à l'excl. des articles en caoutchouc alvéolaire)")</f>
        <v xml:space="preserve">   Joints en caoutchouc vulcanisé non durci (à l'excl. des articles en caoutchouc alvéolaire)</v>
      </c>
      <c r="C577">
        <v>27560157</v>
      </c>
      <c r="D577">
        <v>769</v>
      </c>
    </row>
    <row r="578" spans="1:4" x14ac:dyDescent="0.25">
      <c r="A578" t="str">
        <f>T("   420229")</f>
        <v xml:space="preserve">   420229</v>
      </c>
      <c r="B578"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578">
        <v>2318008</v>
      </c>
      <c r="D578">
        <v>11840</v>
      </c>
    </row>
    <row r="579" spans="1:4" x14ac:dyDescent="0.25">
      <c r="A579" t="str">
        <f>T("   420292")</f>
        <v xml:space="preserve">   420292</v>
      </c>
      <c r="B579" t="s">
        <v>164</v>
      </c>
      <c r="C579">
        <v>1675579</v>
      </c>
      <c r="D579">
        <v>244</v>
      </c>
    </row>
    <row r="580" spans="1:4" x14ac:dyDescent="0.25">
      <c r="A580" t="str">
        <f>T("   420299")</f>
        <v xml:space="preserve">   420299</v>
      </c>
      <c r="B580" t="s">
        <v>165</v>
      </c>
      <c r="C580">
        <v>130000</v>
      </c>
      <c r="D580">
        <v>72</v>
      </c>
    </row>
    <row r="581" spans="1:4" x14ac:dyDescent="0.25">
      <c r="A581" t="str">
        <f>T("   441199")</f>
        <v xml:space="preserve">   441199</v>
      </c>
      <c r="B581" t="s">
        <v>181</v>
      </c>
      <c r="C581">
        <v>4953646</v>
      </c>
      <c r="D581">
        <v>1100</v>
      </c>
    </row>
    <row r="582" spans="1:4" x14ac:dyDescent="0.25">
      <c r="A582" t="str">
        <f>T("   441300")</f>
        <v xml:space="preserve">   441300</v>
      </c>
      <c r="B582" t="str">
        <f>T("   Bois dits 'densifiés', en blocs, planches, lames ou profilés")</f>
        <v xml:space="preserve">   Bois dits 'densifiés', en blocs, planches, lames ou profilés</v>
      </c>
      <c r="C582">
        <v>759602</v>
      </c>
      <c r="D582">
        <v>500</v>
      </c>
    </row>
    <row r="583" spans="1:4" x14ac:dyDescent="0.25">
      <c r="A583" t="str">
        <f>T("   441900")</f>
        <v xml:space="preserve">   441900</v>
      </c>
      <c r="B583" t="s">
        <v>189</v>
      </c>
      <c r="C583">
        <v>1461863</v>
      </c>
      <c r="D583">
        <v>928</v>
      </c>
    </row>
    <row r="584" spans="1:4" x14ac:dyDescent="0.25">
      <c r="A584" t="str">
        <f>T("   480255")</f>
        <v xml:space="preserve">   480255</v>
      </c>
      <c r="B584" t="s">
        <v>193</v>
      </c>
      <c r="C584">
        <v>77380452</v>
      </c>
      <c r="D584">
        <v>147942</v>
      </c>
    </row>
    <row r="585" spans="1:4" x14ac:dyDescent="0.25">
      <c r="A585" t="str">
        <f>T("   480256")</f>
        <v xml:space="preserve">   480256</v>
      </c>
      <c r="B585" t="s">
        <v>194</v>
      </c>
      <c r="C585">
        <v>29872418</v>
      </c>
      <c r="D585">
        <v>63492</v>
      </c>
    </row>
    <row r="586" spans="1:4" x14ac:dyDescent="0.25">
      <c r="A586" t="str">
        <f>T("   480257")</f>
        <v xml:space="preserve">   480257</v>
      </c>
      <c r="B586" t="s">
        <v>195</v>
      </c>
      <c r="C586">
        <v>36307264</v>
      </c>
      <c r="D586">
        <v>58503</v>
      </c>
    </row>
    <row r="587" spans="1:4" x14ac:dyDescent="0.25">
      <c r="A587" t="str">
        <f>T("   480258")</f>
        <v xml:space="preserve">   480258</v>
      </c>
      <c r="B587" t="s">
        <v>196</v>
      </c>
      <c r="C587">
        <v>13648704</v>
      </c>
      <c r="D587">
        <v>30356</v>
      </c>
    </row>
    <row r="588" spans="1:4" x14ac:dyDescent="0.25">
      <c r="A588" t="str">
        <f>T("   480592")</f>
        <v xml:space="preserve">   480592</v>
      </c>
      <c r="B588" t="str">
        <f>T("   Papiers et cartons, non couchés ni enduits, en rouleaux d'une largeur &gt; 36 cm ou en feuilles de forme carrée ou rectangulaire dont au moins un coté &gt; 36 cm et l'autre &gt; 15 cm à l'état non plié, d'un poids &gt; 150 g/m² mais &lt; 225 g/m², n.d.a.")</f>
        <v xml:space="preserve">   Papiers et cartons, non couchés ni enduits, en rouleaux d'une largeur &gt; 36 cm ou en feuilles de forme carrée ou rectangulaire dont au moins un coté &gt; 36 cm et l'autre &gt; 15 cm à l'état non plié, d'un poids &gt; 150 g/m² mais &lt; 225 g/m², n.d.a.</v>
      </c>
      <c r="C588">
        <v>11145849</v>
      </c>
      <c r="D588">
        <v>24259</v>
      </c>
    </row>
    <row r="589" spans="1:4" x14ac:dyDescent="0.25">
      <c r="A589" t="str">
        <f>T("   481029")</f>
        <v xml:space="preserve">   481029</v>
      </c>
      <c r="B589" t="s">
        <v>209</v>
      </c>
      <c r="C589">
        <v>51305216</v>
      </c>
      <c r="D589">
        <v>99358</v>
      </c>
    </row>
    <row r="590" spans="1:4" x14ac:dyDescent="0.25">
      <c r="A590" t="str">
        <f>T("   481141")</f>
        <v xml:space="preserve">   481141</v>
      </c>
      <c r="B590" t="str">
        <f>T("   Papiers et cartons, auto-adhésifs, coloriés en surface, décorés en surface ou imprimés, en rouleaux ou en feuilles de forme carrée ou rectangulaire, de tout format (à l'excl. des produits du n° 4810)")</f>
        <v xml:space="preserve">   Papiers et cartons, auto-adhésifs, coloriés en surface, décorés en surface ou imprimés, en rouleaux ou en feuilles de forme carrée ou rectangulaire, de tout format (à l'excl. des produits du n° 4810)</v>
      </c>
      <c r="C590">
        <v>2049219</v>
      </c>
      <c r="D590">
        <v>2836</v>
      </c>
    </row>
    <row r="591" spans="1:4" x14ac:dyDescent="0.25">
      <c r="A591" t="str">
        <f>T("   481620")</f>
        <v xml:space="preserve">   481620</v>
      </c>
      <c r="B591" t="s">
        <v>214</v>
      </c>
      <c r="C591">
        <v>36391589</v>
      </c>
      <c r="D591">
        <v>38852</v>
      </c>
    </row>
    <row r="592" spans="1:4" x14ac:dyDescent="0.25">
      <c r="A592" t="str">
        <f>T("   481710")</f>
        <v xml:space="preserve">   481710</v>
      </c>
      <c r="B592" t="str">
        <f>T("   Enveloppes, en papier ou en carton")</f>
        <v xml:space="preserve">   Enveloppes, en papier ou en carton</v>
      </c>
      <c r="C592">
        <v>1035504</v>
      </c>
      <c r="D592">
        <v>6302</v>
      </c>
    </row>
    <row r="593" spans="1:4" x14ac:dyDescent="0.25">
      <c r="A593" t="str">
        <f>T("   481810")</f>
        <v xml:space="preserve">   481810</v>
      </c>
      <c r="B593" t="str">
        <f>T("   Papier hygiénique, en rouleaux d'une largeur &lt;= 36 cm")</f>
        <v xml:space="preserve">   Papier hygiénique, en rouleaux d'une largeur &lt;= 36 cm</v>
      </c>
      <c r="C593">
        <v>11813170</v>
      </c>
      <c r="D593">
        <v>93883</v>
      </c>
    </row>
    <row r="594" spans="1:4" x14ac:dyDescent="0.25">
      <c r="A594" t="str">
        <f>T("   481820")</f>
        <v xml:space="preserve">   481820</v>
      </c>
      <c r="B594" t="str">
        <f>T("   Mouchoirs, serviettes à démaquiller et essuie-mains, en pâte à papier, papier, ouate de cellulose ou nappes de fibres de cellulose")</f>
        <v xml:space="preserve">   Mouchoirs, serviettes à démaquiller et essuie-mains, en pâte à papier, papier, ouate de cellulose ou nappes de fibres de cellulose</v>
      </c>
      <c r="C594">
        <v>17736</v>
      </c>
      <c r="D594">
        <v>37</v>
      </c>
    </row>
    <row r="595" spans="1:4" x14ac:dyDescent="0.25">
      <c r="A595" t="str">
        <f>T("   481840")</f>
        <v xml:space="preserve">   481840</v>
      </c>
      <c r="B595"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595">
        <v>20238333</v>
      </c>
      <c r="D595">
        <v>19933</v>
      </c>
    </row>
    <row r="596" spans="1:4" x14ac:dyDescent="0.25">
      <c r="A596" t="str">
        <f>T("   481910")</f>
        <v xml:space="preserve">   481910</v>
      </c>
      <c r="B596" t="str">
        <f>T("   Boîtes et caisses en papier ou en carton ondulé")</f>
        <v xml:space="preserve">   Boîtes et caisses en papier ou en carton ondulé</v>
      </c>
      <c r="C596">
        <v>33605</v>
      </c>
      <c r="D596">
        <v>39</v>
      </c>
    </row>
    <row r="597" spans="1:4" x14ac:dyDescent="0.25">
      <c r="A597" t="str">
        <f>T("   481920")</f>
        <v xml:space="preserve">   481920</v>
      </c>
      <c r="B597" t="str">
        <f>T("   Boîtes et cartonnages, pliants, en papier ou en carton non ondulé")</f>
        <v xml:space="preserve">   Boîtes et cartonnages, pliants, en papier ou en carton non ondulé</v>
      </c>
      <c r="C597">
        <v>267836</v>
      </c>
      <c r="D597">
        <v>11732</v>
      </c>
    </row>
    <row r="598" spans="1:4" x14ac:dyDescent="0.25">
      <c r="A598" t="str">
        <f>T("   481930")</f>
        <v xml:space="preserve">   481930</v>
      </c>
      <c r="B598" t="str">
        <f>T("   Sacs, en papier, carton, ouate de cellulose ou nappes de fibres de cellulose, d'une largeur à la base &gt;= 40 cm")</f>
        <v xml:space="preserve">   Sacs, en papier, carton, ouate de cellulose ou nappes de fibres de cellulose, d'une largeur à la base &gt;= 40 cm</v>
      </c>
      <c r="C598">
        <v>96237860</v>
      </c>
      <c r="D598">
        <v>165449</v>
      </c>
    </row>
    <row r="599" spans="1:4" x14ac:dyDescent="0.25">
      <c r="A599" t="str">
        <f>T("   482010")</f>
        <v xml:space="preserve">   482010</v>
      </c>
      <c r="B599" t="str">
        <f>T("   Registres, livres comptables, carnets de notes, de commandes ou de quittances, blocs-mémorandums, blocs de papier à lettres, agendas et ouvrages simil., en papier ou carton")</f>
        <v xml:space="preserve">   Registres, livres comptables, carnets de notes, de commandes ou de quittances, blocs-mémorandums, blocs de papier à lettres, agendas et ouvrages simil., en papier ou carton</v>
      </c>
      <c r="C599">
        <v>171607</v>
      </c>
      <c r="D599">
        <v>291</v>
      </c>
    </row>
    <row r="600" spans="1:4" x14ac:dyDescent="0.25">
      <c r="A600" t="str">
        <f>T("   482040")</f>
        <v xml:space="preserve">   482040</v>
      </c>
      <c r="B600" t="str">
        <f>T("   Liasses et carnets manifold, même comportant des feuilles de papier carbone, en papier ou carton")</f>
        <v xml:space="preserve">   Liasses et carnets manifold, même comportant des feuilles de papier carbone, en papier ou carton</v>
      </c>
      <c r="C600">
        <v>956725</v>
      </c>
      <c r="D600">
        <v>1120</v>
      </c>
    </row>
    <row r="601" spans="1:4" x14ac:dyDescent="0.25">
      <c r="A601" t="str">
        <f>T("   482090")</f>
        <v xml:space="preserve">   482090</v>
      </c>
      <c r="B601" t="s">
        <v>219</v>
      </c>
      <c r="C601">
        <v>127472</v>
      </c>
      <c r="D601">
        <v>501.73</v>
      </c>
    </row>
    <row r="602" spans="1:4" x14ac:dyDescent="0.25">
      <c r="A602" t="str">
        <f>T("   490199")</f>
        <v xml:space="preserve">   490199</v>
      </c>
      <c r="B602"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602">
        <v>26603888</v>
      </c>
      <c r="D602">
        <v>22934.42</v>
      </c>
    </row>
    <row r="603" spans="1:4" x14ac:dyDescent="0.25">
      <c r="A603" t="str">
        <f>T("   490599")</f>
        <v xml:space="preserve">   490599</v>
      </c>
      <c r="B603" t="str">
        <f>T("   Ouvrages cartographiques de tous genres, y.c. les cartes murales et les plans topographiques, imprimés (à l'excl. des cartes et plans en relief, des globes ainsi que des ouvrages cartographiques sous forme de livres ou de brochures)")</f>
        <v xml:space="preserve">   Ouvrages cartographiques de tous genres, y.c. les cartes murales et les plans topographiques, imprimés (à l'excl. des cartes et plans en relief, des globes ainsi que des ouvrages cartographiques sous forme de livres ou de brochures)</v>
      </c>
      <c r="C603">
        <v>797645</v>
      </c>
      <c r="D603">
        <v>53</v>
      </c>
    </row>
    <row r="604" spans="1:4" x14ac:dyDescent="0.25">
      <c r="A604" t="str">
        <f>T("   491000")</f>
        <v xml:space="preserve">   491000</v>
      </c>
      <c r="B604" t="str">
        <f>T("   Calendriers de tous genres, imprimés, y.c. les blocs de calendriers à effeuiller")</f>
        <v xml:space="preserve">   Calendriers de tous genres, imprimés, y.c. les blocs de calendriers à effeuiller</v>
      </c>
      <c r="C604">
        <v>69968</v>
      </c>
      <c r="D604">
        <v>189</v>
      </c>
    </row>
    <row r="605" spans="1:4" x14ac:dyDescent="0.25">
      <c r="A605" t="str">
        <f>T("   491110")</f>
        <v xml:space="preserve">   491110</v>
      </c>
      <c r="B605" t="str">
        <f>T("   Imprimés publicitaires, catalogues commerciaux et simil.")</f>
        <v xml:space="preserve">   Imprimés publicitaires, catalogues commerciaux et simil.</v>
      </c>
      <c r="C605">
        <v>1023088</v>
      </c>
      <c r="D605">
        <v>9066</v>
      </c>
    </row>
    <row r="606" spans="1:4" x14ac:dyDescent="0.25">
      <c r="A606" t="str">
        <f>T("   491199")</f>
        <v xml:space="preserve">   491199</v>
      </c>
      <c r="B606" t="str">
        <f>T("   Imprimés, n.d.a.")</f>
        <v xml:space="preserve">   Imprimés, n.d.a.</v>
      </c>
      <c r="C606">
        <v>70237681</v>
      </c>
      <c r="D606">
        <v>7933</v>
      </c>
    </row>
    <row r="607" spans="1:4" x14ac:dyDescent="0.25">
      <c r="A607" t="str">
        <f>T("   520959")</f>
        <v xml:space="preserve">   520959</v>
      </c>
      <c r="B607" t="str">
        <f>T("   Tissus de coton, imprimés, contenant &gt;= 85% en poids de coton, d'un poids &gt; 200 g/m² (à l'excl. des tissus à armure toile ou à armure sergé [y.c. le croisé] d'un rapport d'armure &lt;= 4)")</f>
        <v xml:space="preserve">   Tissus de coton, imprimés, contenant &gt;= 85% en poids de coton, d'un poids &gt; 200 g/m² (à l'excl. des tissus à armure toile ou à armure sergé [y.c. le croisé] d'un rapport d'armure &lt;= 4)</v>
      </c>
      <c r="C607">
        <v>200068</v>
      </c>
      <c r="D607">
        <v>630</v>
      </c>
    </row>
    <row r="608" spans="1:4" x14ac:dyDescent="0.25">
      <c r="A608" t="str">
        <f>T("   551339")</f>
        <v xml:space="preserve">   551339</v>
      </c>
      <c r="B608" t="s">
        <v>234</v>
      </c>
      <c r="C608">
        <v>1155566</v>
      </c>
      <c r="D608">
        <v>5300</v>
      </c>
    </row>
    <row r="609" spans="1:4" x14ac:dyDescent="0.25">
      <c r="A609" t="str">
        <f>T("   570490")</f>
        <v xml:space="preserve">   570490</v>
      </c>
      <c r="B609" t="str">
        <f>T("   TAPIS ET AUTRES REVÊTEMENTS DE SOL, EN FEUTRE, NON TOUFFETÉS NI FLOQUÉS, MÊME CONFECTIONNÉS (À L'EXCL. DES CARREAUX D'UNE SUPERFICIE &lt;= 0,3 M¦)")</f>
        <v xml:space="preserve">   TAPIS ET AUTRES REVÊTEMENTS DE SOL, EN FEUTRE, NON TOUFFETÉS NI FLOQUÉS, MÊME CONFECTIONNÉS (À L'EXCL. DES CARREAUX D'UNE SUPERFICIE &lt;= 0,3 M¦)</v>
      </c>
      <c r="C609">
        <v>11408457</v>
      </c>
      <c r="D609">
        <v>26174</v>
      </c>
    </row>
    <row r="610" spans="1:4" x14ac:dyDescent="0.25">
      <c r="A610" t="str">
        <f>T("   570500")</f>
        <v xml:space="preserve">   570500</v>
      </c>
      <c r="B610" t="str">
        <f>T("   Tapis et autres revêtements de sol en matières textiles, même confectionnés (à l'excl. à points noués ou enroulés, tissés, touffetés ou en feutre)")</f>
        <v xml:space="preserve">   Tapis et autres revêtements de sol en matières textiles, même confectionnés (à l'excl. à points noués ou enroulés, tissés, touffetés ou en feutre)</v>
      </c>
      <c r="C610">
        <v>3720605</v>
      </c>
      <c r="D610">
        <v>2539</v>
      </c>
    </row>
    <row r="611" spans="1:4" x14ac:dyDescent="0.25">
      <c r="A611" t="str">
        <f>T("   590500")</f>
        <v xml:space="preserve">   590500</v>
      </c>
      <c r="B611" t="str">
        <f>T("   Revêtements muraux en matières textiles")</f>
        <v xml:space="preserve">   Revêtements muraux en matières textiles</v>
      </c>
      <c r="C611">
        <v>443076</v>
      </c>
      <c r="D611">
        <v>60</v>
      </c>
    </row>
    <row r="612" spans="1:4" x14ac:dyDescent="0.25">
      <c r="A612" t="str">
        <f>T("   590900")</f>
        <v xml:space="preserve">   590900</v>
      </c>
      <c r="B612" t="str">
        <f>T("   Tuyaux pour pompes et tuyaux simil., en matières textiles, même imprégnés ou enduits, même avec armatures ou accessoires en autres matières")</f>
        <v xml:space="preserve">   Tuyaux pour pompes et tuyaux simil., en matières textiles, même imprégnés ou enduits, même avec armatures ou accessoires en autres matières</v>
      </c>
      <c r="C612">
        <v>1786071</v>
      </c>
      <c r="D612">
        <v>840</v>
      </c>
    </row>
    <row r="613" spans="1:4" x14ac:dyDescent="0.25">
      <c r="A613" t="str">
        <f>T("   610910")</f>
        <v xml:space="preserve">   610910</v>
      </c>
      <c r="B613" t="str">
        <f>T("   T-shirts et maillots de corps, en bonneterie, de coton,")</f>
        <v xml:space="preserve">   T-shirts et maillots de corps, en bonneterie, de coton,</v>
      </c>
      <c r="C613">
        <v>997060</v>
      </c>
      <c r="D613">
        <v>286</v>
      </c>
    </row>
    <row r="614" spans="1:4" x14ac:dyDescent="0.25">
      <c r="A614" t="str">
        <f>T("   610990")</f>
        <v xml:space="preserve">   610990</v>
      </c>
      <c r="B614" t="str">
        <f>T("   T-shirts et maillots de corps, en bonneterie, de matières textiles (sauf de coton)")</f>
        <v xml:space="preserve">   T-shirts et maillots de corps, en bonneterie, de matières textiles (sauf de coton)</v>
      </c>
      <c r="C614">
        <v>2503800</v>
      </c>
      <c r="D614">
        <v>2596</v>
      </c>
    </row>
    <row r="615" spans="1:4" x14ac:dyDescent="0.25">
      <c r="A615" t="str">
        <f>T("   611190")</f>
        <v xml:space="preserve">   611190</v>
      </c>
      <c r="B615" t="str">
        <f>T("   VÊTEMENTS ET ACCESSOIRES DU VÊTEMENT, EN BONNETERIE, DE MATIÈRES TEXTILES, POUR BÉBÉS (SAUF DE COTON, FIBRES SYNTHÉTIQUES ET SAUF BONNETS)")</f>
        <v xml:space="preserve">   VÊTEMENTS ET ACCESSOIRES DU VÊTEMENT, EN BONNETERIE, DE MATIÈRES TEXTILES, POUR BÉBÉS (SAUF DE COTON, FIBRES SYNTHÉTIQUES ET SAUF BONNETS)</v>
      </c>
      <c r="C615">
        <v>251357</v>
      </c>
      <c r="D615">
        <v>219</v>
      </c>
    </row>
    <row r="616" spans="1:4" x14ac:dyDescent="0.25">
      <c r="A616" t="str">
        <f>T("   611490")</f>
        <v xml:space="preserve">   611490</v>
      </c>
      <c r="B616" t="str">
        <f>T("   Vêtements spéciaux destinés à des fins professionnelles, sportives ou autres n.d.a., en bonneterie, de matières textiles (sauf de laine, poils fins, coton, fibres synthétiques ou artificielles)")</f>
        <v xml:space="preserve">   Vêtements spéciaux destinés à des fins professionnelles, sportives ou autres n.d.a., en bonneterie, de matières textiles (sauf de laine, poils fins, coton, fibres synthétiques ou artificielles)</v>
      </c>
      <c r="C616">
        <v>1719904</v>
      </c>
      <c r="D616">
        <v>1319</v>
      </c>
    </row>
    <row r="617" spans="1:4" x14ac:dyDescent="0.25">
      <c r="A617" t="str">
        <f>T("   620329")</f>
        <v xml:space="preserve">   620329</v>
      </c>
      <c r="B617" t="str">
        <f>T("   ENSEMBLES DE MATIÈRES TEXTILES, POUR HOMMES OU GARÇONNETS (AUTRES QUE DE COTON OU FIBRES SYNTHÉTIQUES, AUTRES QU'EN BONNETERIE ET SAUF ENSEMBLES DE SKI ET MAILLOTS, CULOTTES ET SLIPS DE BAIN)")</f>
        <v xml:space="preserve">   ENSEMBLES DE MATIÈRES TEXTILES, POUR HOMMES OU GARÇONNETS (AUTRES QUE DE COTON OU FIBRES SYNTHÉTIQUES, AUTRES QU'EN BONNETERIE ET SAUF ENSEMBLES DE SKI ET MAILLOTS, CULOTTES ET SLIPS DE BAIN)</v>
      </c>
      <c r="C617">
        <v>400000</v>
      </c>
      <c r="D617">
        <v>629</v>
      </c>
    </row>
    <row r="618" spans="1:4" x14ac:dyDescent="0.25">
      <c r="A618" t="str">
        <f>T("   620339")</f>
        <v xml:space="preserve">   620339</v>
      </c>
      <c r="B618" t="str">
        <f>T("   Vestons de matières textiles, pour hommes ou garçonnets (autres que laine, poils fins, coton ou fibres synthétiques, autres qu'en bonneterie et sauf anoraks et articles simil.)")</f>
        <v xml:space="preserve">   Vestons de matières textiles, pour hommes ou garçonnets (autres que laine, poils fins, coton ou fibres synthétiques, autres qu'en bonneterie et sauf anoraks et articles simil.)</v>
      </c>
      <c r="C618">
        <v>300430</v>
      </c>
      <c r="D618">
        <v>648</v>
      </c>
    </row>
    <row r="619" spans="1:4" x14ac:dyDescent="0.25">
      <c r="A619" t="str">
        <f>T("   620342")</f>
        <v xml:space="preserve">   620342</v>
      </c>
      <c r="B619" t="str">
        <f>T("   Pantalons, y.c. knickers et pantalons simil., salopettes à bretelles, culottes et shorts, de coton, pour hommes ou garçonnets (autres qu'en bonneterie et sauf slips et caleçons ainsi que maillots, culottes et slips de bain)")</f>
        <v xml:space="preserve">   Pantalons, y.c. knickers et pantalons simil., salopettes à bretelles, culottes et shorts, de coton, pour hommes ou garçonnets (autres qu'en bonneterie et sauf slips et caleçons ainsi que maillots, culottes et slips de bain)</v>
      </c>
      <c r="C619">
        <v>1639691</v>
      </c>
      <c r="D619">
        <v>1222</v>
      </c>
    </row>
    <row r="620" spans="1:4" x14ac:dyDescent="0.25">
      <c r="A620" t="str">
        <f>T("   620590")</f>
        <v xml:space="preserve">   620590</v>
      </c>
      <c r="B620"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620">
        <v>8353348</v>
      </c>
      <c r="D620">
        <v>4800</v>
      </c>
    </row>
    <row r="621" spans="1:4" x14ac:dyDescent="0.25">
      <c r="A621" t="str">
        <f>T("   620899")</f>
        <v xml:space="preserve">   620899</v>
      </c>
      <c r="B621" t="s">
        <v>270</v>
      </c>
      <c r="C621">
        <v>74425</v>
      </c>
      <c r="D621">
        <v>162</v>
      </c>
    </row>
    <row r="622" spans="1:4" x14ac:dyDescent="0.25">
      <c r="A622" t="str">
        <f>T("   621040")</f>
        <v xml:space="preserve">   621040</v>
      </c>
      <c r="B622" t="s">
        <v>271</v>
      </c>
      <c r="C622">
        <v>3885238</v>
      </c>
      <c r="D622">
        <v>11652</v>
      </c>
    </row>
    <row r="623" spans="1:4" x14ac:dyDescent="0.25">
      <c r="A623" t="str">
        <f>T("   621050")</f>
        <v xml:space="preserve">   621050</v>
      </c>
      <c r="B623" t="s">
        <v>272</v>
      </c>
      <c r="C623">
        <v>852063</v>
      </c>
      <c r="D623">
        <v>347</v>
      </c>
    </row>
    <row r="624" spans="1:4" x14ac:dyDescent="0.25">
      <c r="A624" t="str">
        <f>T("   621210")</f>
        <v xml:space="preserve">   621210</v>
      </c>
      <c r="B624" t="str">
        <f>T("   Soutiens-gorge et bustiers en tous types de matières textiles, même élastiques et même en bonneterie")</f>
        <v xml:space="preserve">   Soutiens-gorge et bustiers en tous types de matières textiles, même élastiques et même en bonneterie</v>
      </c>
      <c r="C624">
        <v>2404526</v>
      </c>
      <c r="D624">
        <v>6380</v>
      </c>
    </row>
    <row r="625" spans="1:4" x14ac:dyDescent="0.25">
      <c r="A625" t="str">
        <f>T("   630190")</f>
        <v xml:space="preserve">   630190</v>
      </c>
      <c r="B625" t="s">
        <v>274</v>
      </c>
      <c r="C625">
        <v>193508</v>
      </c>
      <c r="D625">
        <v>105</v>
      </c>
    </row>
    <row r="626" spans="1:4" x14ac:dyDescent="0.25">
      <c r="A626" t="str">
        <f>T("   630229")</f>
        <v xml:space="preserve">   630229</v>
      </c>
      <c r="B626" t="str">
        <f>T("   Linge de lit, de matières textiles, imprimé (autre que de coton, fibres synthétiques ou artificielles, autres qu'en bonneterie)")</f>
        <v xml:space="preserve">   Linge de lit, de matières textiles, imprimé (autre que de coton, fibres synthétiques ou artificielles, autres qu'en bonneterie)</v>
      </c>
      <c r="C626">
        <v>525424</v>
      </c>
      <c r="D626">
        <v>602</v>
      </c>
    </row>
    <row r="627" spans="1:4" x14ac:dyDescent="0.25">
      <c r="A627" t="str">
        <f>T("   630259")</f>
        <v xml:space="preserve">   630259</v>
      </c>
      <c r="B627" t="str">
        <f>T("   LINGE DE TABLE DE MATIÈRES TEXTILES (AUTRE QUE DE COTON, FIBRES SYNTHÉTIQUES OU ARTIFICIELLES, AUTRE QU'EN BONNETERIE)")</f>
        <v xml:space="preserve">   LINGE DE TABLE DE MATIÈRES TEXTILES (AUTRE QUE DE COTON, FIBRES SYNTHÉTIQUES OU ARTIFICIELLES, AUTRE QU'EN BONNETERIE)</v>
      </c>
      <c r="C627">
        <v>90899</v>
      </c>
      <c r="D627">
        <v>202</v>
      </c>
    </row>
    <row r="628" spans="1:4" x14ac:dyDescent="0.25">
      <c r="A628" t="str">
        <f>T("   630539")</f>
        <v xml:space="preserve">   630539</v>
      </c>
      <c r="B628" t="str">
        <f>T("   Sacs et sachets d'emballage de matières synthétiques ou artificielles (autres qu'en lames ou formes simil. de polyéthylène ou de polypropylène ainsi que contenants souples pour matières en vrac)")</f>
        <v xml:space="preserve">   Sacs et sachets d'emballage de matières synthétiques ou artificielles (autres qu'en lames ou formes simil. de polyéthylène ou de polypropylène ainsi que contenants souples pour matières en vrac)</v>
      </c>
      <c r="C628">
        <v>94924</v>
      </c>
      <c r="D628">
        <v>70</v>
      </c>
    </row>
    <row r="629" spans="1:4" x14ac:dyDescent="0.25">
      <c r="A629" t="str">
        <f>T("   630790")</f>
        <v xml:space="preserve">   630790</v>
      </c>
      <c r="B629" t="str">
        <f>T("   Articles de matières textiles, confectionnés, y.c. les patrons de vêtements n.d.a.")</f>
        <v xml:space="preserve">   Articles de matières textiles, confectionnés, y.c. les patrons de vêtements n.d.a.</v>
      </c>
      <c r="C629">
        <v>845532</v>
      </c>
      <c r="D629">
        <v>318</v>
      </c>
    </row>
    <row r="630" spans="1:4" x14ac:dyDescent="0.25">
      <c r="A630" t="str">
        <f>T("   630900")</f>
        <v xml:space="preserve">   630900</v>
      </c>
      <c r="B630" t="s">
        <v>278</v>
      </c>
      <c r="C630">
        <v>1872509294</v>
      </c>
      <c r="D630">
        <v>3947950.25</v>
      </c>
    </row>
    <row r="631" spans="1:4" x14ac:dyDescent="0.25">
      <c r="A631" t="str">
        <f>T("   640590")</f>
        <v xml:space="preserve">   640590</v>
      </c>
      <c r="B631" t="s">
        <v>289</v>
      </c>
      <c r="C631">
        <v>200009</v>
      </c>
      <c r="D631">
        <v>300</v>
      </c>
    </row>
    <row r="632" spans="1:4" x14ac:dyDescent="0.25">
      <c r="A632" t="str">
        <f>T("   650590")</f>
        <v xml:space="preserve">   650590</v>
      </c>
      <c r="B632" t="s">
        <v>290</v>
      </c>
      <c r="C632">
        <v>263643</v>
      </c>
      <c r="D632">
        <v>126</v>
      </c>
    </row>
    <row r="633" spans="1:4" x14ac:dyDescent="0.25">
      <c r="A633" t="str">
        <f>T("   650699")</f>
        <v xml:space="preserve">   650699</v>
      </c>
      <c r="B633" t="str">
        <f>T("   Chapeaux et autres coiffures, même garnis, n.d.a.")</f>
        <v xml:space="preserve">   Chapeaux et autres coiffures, même garnis, n.d.a.</v>
      </c>
      <c r="C633">
        <v>3315878</v>
      </c>
      <c r="D633">
        <v>1630</v>
      </c>
    </row>
    <row r="634" spans="1:4" x14ac:dyDescent="0.25">
      <c r="A634" t="str">
        <f>T("   660110")</f>
        <v xml:space="preserve">   660110</v>
      </c>
      <c r="B634" t="str">
        <f>T("   Parasols de jardin et articles simil. (sauf tentes de plage)")</f>
        <v xml:space="preserve">   Parasols de jardin et articles simil. (sauf tentes de plage)</v>
      </c>
      <c r="C634">
        <v>1481592</v>
      </c>
      <c r="D634">
        <v>1175</v>
      </c>
    </row>
    <row r="635" spans="1:4" x14ac:dyDescent="0.25">
      <c r="A635" t="str">
        <f>T("   680690")</f>
        <v xml:space="preserve">   680690</v>
      </c>
      <c r="B635" t="s">
        <v>300</v>
      </c>
      <c r="C635">
        <v>3563064</v>
      </c>
      <c r="D635">
        <v>5855</v>
      </c>
    </row>
    <row r="636" spans="1:4" x14ac:dyDescent="0.25">
      <c r="A636" t="str">
        <f>T("   680919")</f>
        <v xml:space="preserve">   680919</v>
      </c>
      <c r="B636" t="s">
        <v>301</v>
      </c>
      <c r="C636">
        <v>3113757</v>
      </c>
      <c r="D636">
        <v>14357</v>
      </c>
    </row>
    <row r="637" spans="1:4" x14ac:dyDescent="0.25">
      <c r="A637" t="str">
        <f>T("   681091")</f>
        <v xml:space="preserve">   681091</v>
      </c>
      <c r="B637" t="str">
        <f>T("   ÉLÉMENTS PRÉFABRIQUÉS POUR LE BÂTIMENT OU LE GÉNIE CIVIL, EN CIMENT, EN BÉTON OU EN PIERRE ARTIFICIELLE, MÊME ARMÉS")</f>
        <v xml:space="preserve">   ÉLÉMENTS PRÉFABRIQUÉS POUR LE BÂTIMENT OU LE GÉNIE CIVIL, EN CIMENT, EN BÉTON OU EN PIERRE ARTIFICIELLE, MÊME ARMÉS</v>
      </c>
      <c r="C637">
        <v>507056</v>
      </c>
      <c r="D637">
        <v>891</v>
      </c>
    </row>
    <row r="638" spans="1:4" x14ac:dyDescent="0.25">
      <c r="A638" t="str">
        <f>T("   681120")</f>
        <v xml:space="preserve">   681120</v>
      </c>
      <c r="B638" t="str">
        <f>T("   Plaques, panneaux, carreaux, tuiles et articles simil., en amiante-ciment, cellulose-ciment ou simil. (sauf plaques ondulées)")</f>
        <v xml:space="preserve">   Plaques, panneaux, carreaux, tuiles et articles simil., en amiante-ciment, cellulose-ciment ou simil. (sauf plaques ondulées)</v>
      </c>
      <c r="C638">
        <v>32571813</v>
      </c>
      <c r="D638">
        <v>248000</v>
      </c>
    </row>
    <row r="639" spans="1:4" x14ac:dyDescent="0.25">
      <c r="A639" t="str">
        <f>T("   690790")</f>
        <v xml:space="preserve">   690790</v>
      </c>
      <c r="B639" t="s">
        <v>310</v>
      </c>
      <c r="C639">
        <v>558704077</v>
      </c>
      <c r="D639">
        <v>5616252</v>
      </c>
    </row>
    <row r="640" spans="1:4" x14ac:dyDescent="0.25">
      <c r="A640" t="str">
        <f>T("   690890")</f>
        <v xml:space="preserve">   690890</v>
      </c>
      <c r="B640" t="s">
        <v>311</v>
      </c>
      <c r="C640">
        <v>602583758</v>
      </c>
      <c r="D640">
        <v>6706074</v>
      </c>
    </row>
    <row r="641" spans="1:4" x14ac:dyDescent="0.25">
      <c r="A641" t="str">
        <f>T("   691090")</f>
        <v xml:space="preserve">   691090</v>
      </c>
      <c r="B641" t="s">
        <v>313</v>
      </c>
      <c r="C641">
        <v>31642114</v>
      </c>
      <c r="D641">
        <v>8032</v>
      </c>
    </row>
    <row r="642" spans="1:4" x14ac:dyDescent="0.25">
      <c r="A642" t="str">
        <f>T("   691110")</f>
        <v xml:space="preserve">   691110</v>
      </c>
      <c r="B642" t="s">
        <v>314</v>
      </c>
      <c r="C642">
        <v>9053483</v>
      </c>
      <c r="D642">
        <v>26400</v>
      </c>
    </row>
    <row r="643" spans="1:4" x14ac:dyDescent="0.25">
      <c r="A643" t="str">
        <f>T("   691200")</f>
        <v xml:space="preserve">   691200</v>
      </c>
      <c r="B643" t="s">
        <v>316</v>
      </c>
      <c r="C643">
        <v>426789</v>
      </c>
      <c r="D643">
        <v>1470</v>
      </c>
    </row>
    <row r="644" spans="1:4" x14ac:dyDescent="0.25">
      <c r="A644" t="str">
        <f>T("   700510")</f>
        <v xml:space="preserve">   700510</v>
      </c>
      <c r="B644" t="str">
        <f>T("   PLAQUES OU FEUILLES EN GLACE [VERRE FLOTTÉ ET VERRE DOUCI OU POLI SUR UNE OU DEUX FACES], À COUCHE ABSORBANTE, RÉFLÉCHISSANTE OU NON-RÉFLÉCHISSANTE, MAIS NON AUTREMENT TRAVAILLÉE (SAUF ARMÉE)")</f>
        <v xml:space="preserve">   PLAQUES OU FEUILLES EN GLACE [VERRE FLOTTÉ ET VERRE DOUCI OU POLI SUR UNE OU DEUX FACES], À COUCHE ABSORBANTE, RÉFLÉCHISSANTE OU NON-RÉFLÉCHISSANTE, MAIS NON AUTREMENT TRAVAILLÉE (SAUF ARMÉE)</v>
      </c>
      <c r="C644">
        <v>4905079</v>
      </c>
      <c r="D644">
        <v>25000</v>
      </c>
    </row>
    <row r="645" spans="1:4" x14ac:dyDescent="0.25">
      <c r="A645" t="str">
        <f>T("   700529")</f>
        <v xml:space="preserve">   700529</v>
      </c>
      <c r="B645" t="s">
        <v>318</v>
      </c>
      <c r="C645">
        <v>12079786</v>
      </c>
      <c r="D645">
        <v>55576</v>
      </c>
    </row>
    <row r="646" spans="1:4" x14ac:dyDescent="0.25">
      <c r="A646" t="str">
        <f>T("   700600")</f>
        <v xml:space="preserve">   700600</v>
      </c>
      <c r="B646" t="s">
        <v>319</v>
      </c>
      <c r="C646">
        <v>87258587</v>
      </c>
      <c r="D646">
        <v>887872</v>
      </c>
    </row>
    <row r="647" spans="1:4" x14ac:dyDescent="0.25">
      <c r="A647" t="str">
        <f>T("   700711")</f>
        <v xml:space="preserve">   700711</v>
      </c>
      <c r="B647" t="str">
        <f>T("   VERRES TREMPÉS DE DIMENSIONS ET FORMATS PERMETTANT LEUR EMPLOI DANS LES AUTOMOBILES, VÉHICULES AÉRIENS, BATEAUX OU AUTRES VÉHICULES [01/01/1988-31/12/1988: VERRES TREMPES, -DE SECURITE-, POUR AUTOMOBILES, AERODYNES, BATEAUX OU AUTRES VÉHICULES]")</f>
        <v xml:space="preserve">   VERRES TREMPÉS DE DIMENSIONS ET FORMATS PERMETTANT LEUR EMPLOI DANS LES AUTOMOBILES, VÉHICULES AÉRIENS, BATEAUX OU AUTRES VÉHICULES [01/01/1988-31/12/1988: VERRES TREMPES, -DE SECURITE-, POUR AUTOMOBILES, AERODYNES, BATEAUX OU AUTRES VÉHICULES]</v>
      </c>
      <c r="C647">
        <v>701877</v>
      </c>
      <c r="D647">
        <v>28</v>
      </c>
    </row>
    <row r="648" spans="1:4" x14ac:dyDescent="0.25">
      <c r="A648" t="str">
        <f>T("   700910")</f>
        <v xml:space="preserve">   700910</v>
      </c>
      <c r="B648" t="str">
        <f>T("   Miroirs rétroviseurs en verre, même encadrés, pour véhicules")</f>
        <v xml:space="preserve">   Miroirs rétroviseurs en verre, même encadrés, pour véhicules</v>
      </c>
      <c r="C648">
        <v>101018</v>
      </c>
      <c r="D648">
        <v>2</v>
      </c>
    </row>
    <row r="649" spans="1:4" x14ac:dyDescent="0.25">
      <c r="A649" t="str">
        <f>T("   700991")</f>
        <v xml:space="preserve">   700991</v>
      </c>
      <c r="B649" t="str">
        <f>T("   Miroirs en verre non encadrés (sauf miroirs rétroviseurs pour véhicules, miroirs optiques, optiquement travaillés et miroirs de plus de 100 ans)")</f>
        <v xml:space="preserve">   Miroirs en verre non encadrés (sauf miroirs rétroviseurs pour véhicules, miroirs optiques, optiquement travaillés et miroirs de plus de 100 ans)</v>
      </c>
      <c r="C649">
        <v>4018739</v>
      </c>
      <c r="D649">
        <v>14203</v>
      </c>
    </row>
    <row r="650" spans="1:4" x14ac:dyDescent="0.25">
      <c r="A650" t="str">
        <f>T("   701329")</f>
        <v xml:space="preserve">   701329</v>
      </c>
      <c r="B650" t="str">
        <f>T("   Verres à boire (autres qu'en vitrocérame, autres qu'en cristal au plomb)")</f>
        <v xml:space="preserve">   Verres à boire (autres qu'en vitrocérame, autres qu'en cristal au plomb)</v>
      </c>
      <c r="C650">
        <v>168251</v>
      </c>
      <c r="D650">
        <v>320</v>
      </c>
    </row>
    <row r="651" spans="1:4" x14ac:dyDescent="0.25">
      <c r="A651" t="str">
        <f>T("   701332")</f>
        <v xml:space="preserve">   701332</v>
      </c>
      <c r="B651" t="s">
        <v>329</v>
      </c>
      <c r="C651">
        <v>1618254</v>
      </c>
      <c r="D651">
        <v>3969</v>
      </c>
    </row>
    <row r="652" spans="1:4" x14ac:dyDescent="0.25">
      <c r="A652" t="str">
        <f>T("   701690")</f>
        <v xml:space="preserve">   701690</v>
      </c>
      <c r="B652" t="s">
        <v>334</v>
      </c>
      <c r="C652">
        <v>2505563</v>
      </c>
      <c r="D652">
        <v>19872</v>
      </c>
    </row>
    <row r="653" spans="1:4" x14ac:dyDescent="0.25">
      <c r="A653" t="str">
        <f>T("   701790")</f>
        <v xml:space="preserve">   701790</v>
      </c>
      <c r="B653" t="s">
        <v>337</v>
      </c>
      <c r="C653">
        <v>1215277</v>
      </c>
      <c r="D653">
        <v>96</v>
      </c>
    </row>
    <row r="654" spans="1:4" x14ac:dyDescent="0.25">
      <c r="A654" t="str">
        <f>T("   720851")</f>
        <v xml:space="preserve">   720851</v>
      </c>
      <c r="B654" t="str">
        <f>T("   PRODUITS LAMINÉS PLATS, EN FER OU EN ACIERS NON-ALLIÉS, D'UNE LARGEUR &gt;= 600 MM, NON-ENROULÉS, SIMPL. LAMINÉS À CHAUD, NON-PLAQUÉS NI REVÊTUS, ÉPAISSEUR &gt; 10 MM (SANS MOTIFS EN RELIEF)")</f>
        <v xml:space="preserve">   PRODUITS LAMINÉS PLATS, EN FER OU EN ACIERS NON-ALLIÉS, D'UNE LARGEUR &gt;= 600 MM, NON-ENROULÉS, SIMPL. LAMINÉS À CHAUD, NON-PLAQUÉS NI REVÊTUS, ÉPAISSEUR &gt; 10 MM (SANS MOTIFS EN RELIEF)</v>
      </c>
      <c r="C654">
        <v>41261041</v>
      </c>
      <c r="D654">
        <v>162147</v>
      </c>
    </row>
    <row r="655" spans="1:4" x14ac:dyDescent="0.25">
      <c r="A655" t="str">
        <f>T("   720852")</f>
        <v xml:space="preserve">   720852</v>
      </c>
      <c r="B655" t="str">
        <f>T("   PRODUITS LAMINÉS PLATS, EN FER OU EN ACIER NON-ALLIÉS, D'UNE LARGEUR &gt;= 600 MM, NON-ENROULÉS, SIMPL. LAMINÉS À CHAUD, NON-PLAQUÉS NI REVÊTUS, ÉPAISSEUR &gt;= 4,75 MM MAIS &lt;= 10 MM (SANS MOTIFS EN RELIEF)")</f>
        <v xml:space="preserve">   PRODUITS LAMINÉS PLATS, EN FER OU EN ACIER NON-ALLIÉS, D'UNE LARGEUR &gt;= 600 MM, NON-ENROULÉS, SIMPL. LAMINÉS À CHAUD, NON-PLAQUÉS NI REVÊTUS, ÉPAISSEUR &gt;= 4,75 MM MAIS &lt;= 10 MM (SANS MOTIFS EN RELIEF)</v>
      </c>
      <c r="C655">
        <v>33331837</v>
      </c>
      <c r="D655">
        <v>25086</v>
      </c>
    </row>
    <row r="656" spans="1:4" x14ac:dyDescent="0.25">
      <c r="A656" t="str">
        <f>T("   720853")</f>
        <v xml:space="preserve">   720853</v>
      </c>
      <c r="B656" t="str">
        <f>T("   PRODUITS LAMINÉS PLATS, EN FER OU EN ACIER NON-ALLIÉS, D'UNE LARGEUR &gt;= 600 MM, NON-ENROULÉS, SIMPL. LAMINÉS À CHAUD, NON-PLAQUÉS NI REVÊTUS, ÉPAISSEUR &gt;= 3 MM MAIS &lt; 4,75 MM, SANS MOTIFS EN RELIEF")</f>
        <v xml:space="preserve">   PRODUITS LAMINÉS PLATS, EN FER OU EN ACIER NON-ALLIÉS, D'UNE LARGEUR &gt;= 600 MM, NON-ENROULÉS, SIMPL. LAMINÉS À CHAUD, NON-PLAQUÉS NI REVÊTUS, ÉPAISSEUR &gt;= 3 MM MAIS &lt; 4,75 MM, SANS MOTIFS EN RELIEF</v>
      </c>
      <c r="C656">
        <v>11737192</v>
      </c>
      <c r="D656">
        <v>55978</v>
      </c>
    </row>
    <row r="657" spans="1:4" x14ac:dyDescent="0.25">
      <c r="A657" t="str">
        <f>T("   721049")</f>
        <v xml:space="preserve">   721049</v>
      </c>
      <c r="B657" t="str">
        <f>T("   Produits laminés plats, en fer ou en aciers non alliés, d'une largeur &gt;= 600 mm, laminés à chaud ou à froid, zingués, non ondulés (à l'excl. des produits zingués électrolytiquement)")</f>
        <v xml:space="preserve">   Produits laminés plats, en fer ou en aciers non alliés, d'une largeur &gt;= 600 mm, laminés à chaud ou à froid, zingués, non ondulés (à l'excl. des produits zingués électrolytiquement)</v>
      </c>
      <c r="C657">
        <v>328655424</v>
      </c>
      <c r="D657">
        <v>497308</v>
      </c>
    </row>
    <row r="658" spans="1:4" x14ac:dyDescent="0.25">
      <c r="A658" t="str">
        <f>T("   721090")</f>
        <v xml:space="preserve">   721090</v>
      </c>
      <c r="B658" t="s">
        <v>343</v>
      </c>
      <c r="C658">
        <v>5035804</v>
      </c>
      <c r="D658">
        <v>4828</v>
      </c>
    </row>
    <row r="659" spans="1:4" x14ac:dyDescent="0.25">
      <c r="A659" t="str">
        <f>T("   721190")</f>
        <v xml:space="preserve">   721190</v>
      </c>
      <c r="B659" t="str">
        <f>T("   PRODUITS LAMINÉS PLATS, EN FER OU EN ACIERS NON-ALLIÉS, D'UNE LARGEUR &lt; 600 MM, LAMINÉS À CHAUD OU À FROID ET AYANT SUBI CERTAINES OUVRAISONS PLUS POUSSÉES, MAIS NON-PLAQUÉS NI REVÊTUS")</f>
        <v xml:space="preserve">   PRODUITS LAMINÉS PLATS, EN FER OU EN ACIERS NON-ALLIÉS, D'UNE LARGEUR &lt; 600 MM, LAMINÉS À CHAUD OU À FROID ET AYANT SUBI CERTAINES OUVRAISONS PLUS POUSSÉES, MAIS NON-PLAQUÉS NI REVÊTUS</v>
      </c>
      <c r="C659">
        <v>14717478</v>
      </c>
      <c r="D659">
        <v>59928</v>
      </c>
    </row>
    <row r="660" spans="1:4" x14ac:dyDescent="0.25">
      <c r="A660" t="str">
        <f>T("   721391")</f>
        <v xml:space="preserve">   721391</v>
      </c>
      <c r="B660"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660">
        <v>5028559388</v>
      </c>
      <c r="D660">
        <v>15607196</v>
      </c>
    </row>
    <row r="661" spans="1:4" x14ac:dyDescent="0.25">
      <c r="A661" t="str">
        <f>T("   721420")</f>
        <v xml:space="preserve">   721420</v>
      </c>
      <c r="B661" t="str">
        <f>T("   BARRES EN FER OU EN ACIERS NON ALLIÉS, COMPORTANT DES INDENTATIONS, BOURRELETS, CREUX OU RELIEFS OBTENUS AU COURS DU LAMINAGE OU AYANT SUBI UNE TORSION APRÈS LAMINAGE")</f>
        <v xml:space="preserve">   BARRES EN FER OU EN ACIERS NON ALLIÉS, COMPORTANT DES INDENTATIONS, BOURRELETS, CREUX OU RELIEFS OBTENUS AU COURS DU LAMINAGE OU AYANT SUBI UNE TORSION APRÈS LAMINAGE</v>
      </c>
      <c r="C661">
        <v>242272340</v>
      </c>
      <c r="D661">
        <v>662114.29</v>
      </c>
    </row>
    <row r="662" spans="1:4" x14ac:dyDescent="0.25">
      <c r="A662" t="str">
        <f>T("   721499")</f>
        <v xml:space="preserve">   721499</v>
      </c>
      <c r="B662" t="s">
        <v>346</v>
      </c>
      <c r="C662">
        <v>7707861</v>
      </c>
      <c r="D662">
        <v>70900</v>
      </c>
    </row>
    <row r="663" spans="1:4" x14ac:dyDescent="0.25">
      <c r="A663" t="str">
        <f>T("   721590")</f>
        <v xml:space="preserve">   721590</v>
      </c>
      <c r="B663" t="str">
        <f>T("   Barres en fer ou en aciers non alliés, obtenues ou parachevées à froid et ayant subi certaines ouvraisons plus poussées ou obtenues à chaud et ayant subi certaines ouvraisons plus poussées, n.d.a.")</f>
        <v xml:space="preserve">   Barres en fer ou en aciers non alliés, obtenues ou parachevées à froid et ayant subi certaines ouvraisons plus poussées ou obtenues à chaud et ayant subi certaines ouvraisons plus poussées, n.d.a.</v>
      </c>
      <c r="C663">
        <v>15570813</v>
      </c>
      <c r="D663">
        <v>70900</v>
      </c>
    </row>
    <row r="664" spans="1:4" x14ac:dyDescent="0.25">
      <c r="A664" t="str">
        <f>T("   721610")</f>
        <v xml:space="preserve">   721610</v>
      </c>
      <c r="B664" t="str">
        <f>T("   PROFILÉS U, I OU H EN FER OU EN ACIERS NON ALLIÉS, SIMPLEMENT LAMINÉS OU FILÉS À CHAUD, HAUTEUR &lt; 80 MM")</f>
        <v xml:space="preserve">   PROFILÉS U, I OU H EN FER OU EN ACIERS NON ALLIÉS, SIMPLEMENT LAMINÉS OU FILÉS À CHAUD, HAUTEUR &lt; 80 MM</v>
      </c>
      <c r="C664">
        <v>15713881</v>
      </c>
      <c r="D664">
        <v>54580</v>
      </c>
    </row>
    <row r="665" spans="1:4" x14ac:dyDescent="0.25">
      <c r="A665" t="str">
        <f>T("   721621")</f>
        <v xml:space="preserve">   721621</v>
      </c>
      <c r="B665" t="str">
        <f>T("   PROFILÉS EN L EN FER OU ACIERS NON ALLIÉS, SIMPLEMENT LAMINÉS OU FILÉS À CHAUD, HAUTEUR &lt; 80 MM")</f>
        <v xml:space="preserve">   PROFILÉS EN L EN FER OU ACIERS NON ALLIÉS, SIMPLEMENT LAMINÉS OU FILÉS À CHAUD, HAUTEUR &lt; 80 MM</v>
      </c>
      <c r="C665">
        <v>81511060</v>
      </c>
      <c r="D665">
        <v>293021</v>
      </c>
    </row>
    <row r="666" spans="1:4" x14ac:dyDescent="0.25">
      <c r="A666" t="str">
        <f>T("   721632")</f>
        <v xml:space="preserve">   721632</v>
      </c>
      <c r="B666" t="str">
        <f>T("   PROFILÉS EN I, EN FER OU EN ACIERS NON-ALLIÉS, SIMPL. LAMINÉS OU FILÉS À CHAUD, D'UNE HAUTEUR &gt;= 80 MM")</f>
        <v xml:space="preserve">   PROFILÉS EN I, EN FER OU EN ACIERS NON-ALLIÉS, SIMPL. LAMINÉS OU FILÉS À CHAUD, D'UNE HAUTEUR &gt;= 80 MM</v>
      </c>
      <c r="C666">
        <v>6953134</v>
      </c>
      <c r="D666">
        <v>23651</v>
      </c>
    </row>
    <row r="667" spans="1:4" x14ac:dyDescent="0.25">
      <c r="A667" t="str">
        <f>T("   721650")</f>
        <v xml:space="preserve">   721650</v>
      </c>
      <c r="B667" t="str">
        <f>T("   PROFILÉS, EN FER OU EN ACIERS NON-ALLIÉS, SIMPL. LAMINÉS OU FILÉS À CHAUD (À L'EXCL. DES PROFILÉS EN U, EN I, EN H, EN L OU EN T)")</f>
        <v xml:space="preserve">   PROFILÉS, EN FER OU EN ACIERS NON-ALLIÉS, SIMPL. LAMINÉS OU FILÉS À CHAUD (À L'EXCL. DES PROFILÉS EN U, EN I, EN H, EN L OU EN T)</v>
      </c>
      <c r="C667">
        <v>20048029</v>
      </c>
      <c r="D667">
        <v>75777</v>
      </c>
    </row>
    <row r="668" spans="1:4" x14ac:dyDescent="0.25">
      <c r="A668" t="str">
        <f>T("   721661")</f>
        <v xml:space="preserve">   721661</v>
      </c>
      <c r="B668" t="str">
        <f>T("   PROFILÉS EN FER OU ACIERS NON-ALLIÉS, SIMPL. OBTENUS À FROID À PARTIR DE PRODUITS LAMINÉS PLATS (À L'EXCL. DES TÔLES NERVURÉES)")</f>
        <v xml:space="preserve">   PROFILÉS EN FER OU ACIERS NON-ALLIÉS, SIMPL. OBTENUS À FROID À PARTIR DE PRODUITS LAMINÉS PLATS (À L'EXCL. DES TÔLES NERVURÉES)</v>
      </c>
      <c r="C668">
        <v>52599603</v>
      </c>
      <c r="D668">
        <v>109897</v>
      </c>
    </row>
    <row r="669" spans="1:4" x14ac:dyDescent="0.25">
      <c r="A669" t="str">
        <f>T("   721699")</f>
        <v xml:space="preserve">   721699</v>
      </c>
      <c r="B669" t="s">
        <v>347</v>
      </c>
      <c r="C669">
        <v>10565066</v>
      </c>
      <c r="D669">
        <v>43463</v>
      </c>
    </row>
    <row r="670" spans="1:4" x14ac:dyDescent="0.25">
      <c r="A670" t="str">
        <f>T("   722990")</f>
        <v xml:space="preserve">   722990</v>
      </c>
      <c r="B670" t="str">
        <f>T("   FILS EN ACIERS ALLIÉS AUTRES QU'ACIERS INOXYDABLES, EN COURONNES OU EN ROULEAUX (SAUF FIL MACHINE ET FIL EN ACIERS SILICOMANGANEUX)")</f>
        <v xml:space="preserve">   FILS EN ACIERS ALLIÉS AUTRES QU'ACIERS INOXYDABLES, EN COURONNES OU EN ROULEAUX (SAUF FIL MACHINE ET FIL EN ACIERS SILICOMANGANEUX)</v>
      </c>
      <c r="C670">
        <v>420470</v>
      </c>
      <c r="D670">
        <v>4100</v>
      </c>
    </row>
    <row r="671" spans="1:4" x14ac:dyDescent="0.25">
      <c r="A671" t="str">
        <f>T("   730711")</f>
        <v xml:space="preserve">   730711</v>
      </c>
      <c r="B671" t="str">
        <f>T("   ACCESSOIRES DE TUYAUTERIE MOULÉS EN FONTE NON-MALLÉABLE")</f>
        <v xml:space="preserve">   ACCESSOIRES DE TUYAUTERIE MOULÉS EN FONTE NON-MALLÉABLE</v>
      </c>
      <c r="C671">
        <v>3819655</v>
      </c>
      <c r="D671">
        <v>300</v>
      </c>
    </row>
    <row r="672" spans="1:4" x14ac:dyDescent="0.25">
      <c r="A672" t="str">
        <f>T("   730722")</f>
        <v xml:space="preserve">   730722</v>
      </c>
      <c r="B672" t="str">
        <f>T("   COUDES, COURBES ET MANCHONS EN ACIERS INOXYDABLES, FILETÉS (NON-MOULÉS)")</f>
        <v xml:space="preserve">   COUDES, COURBES ET MANCHONS EN ACIERS INOXYDABLES, FILETÉS (NON-MOULÉS)</v>
      </c>
      <c r="C672">
        <v>574965</v>
      </c>
      <c r="D672">
        <v>10</v>
      </c>
    </row>
    <row r="673" spans="1:4" x14ac:dyDescent="0.25">
      <c r="A673" t="str">
        <f>T("   730791")</f>
        <v xml:space="preserve">   730791</v>
      </c>
      <c r="B673" t="str">
        <f>T("   Brides en fer ou aciers (autres que moulés ou en acier inoxydable)")</f>
        <v xml:space="preserve">   Brides en fer ou aciers (autres que moulés ou en acier inoxydable)</v>
      </c>
      <c r="C673">
        <v>654648</v>
      </c>
      <c r="D673">
        <v>26</v>
      </c>
    </row>
    <row r="674" spans="1:4" x14ac:dyDescent="0.25">
      <c r="A674" t="str">
        <f>T("   730792")</f>
        <v xml:space="preserve">   730792</v>
      </c>
      <c r="B674" t="str">
        <f>T("   Coudes, courbes et manchons en fer ou en aciers, filetés (autres que moulés ou en aciers inoxydables)")</f>
        <v xml:space="preserve">   Coudes, courbes et manchons en fer ou en aciers, filetés (autres que moulés ou en aciers inoxydables)</v>
      </c>
      <c r="C674">
        <v>122907</v>
      </c>
      <c r="D674">
        <v>100</v>
      </c>
    </row>
    <row r="675" spans="1:4" x14ac:dyDescent="0.25">
      <c r="A675" t="str">
        <f>T("   730890")</f>
        <v xml:space="preserve">   730890</v>
      </c>
      <c r="B675" t="s">
        <v>355</v>
      </c>
      <c r="C675">
        <v>2217998</v>
      </c>
      <c r="D675">
        <v>10211</v>
      </c>
    </row>
    <row r="676" spans="1:4" x14ac:dyDescent="0.25">
      <c r="A676" t="str">
        <f>T("   730900")</f>
        <v xml:space="preserve">   730900</v>
      </c>
      <c r="B676" t="s">
        <v>356</v>
      </c>
      <c r="C676">
        <v>4692737</v>
      </c>
      <c r="D676">
        <v>400</v>
      </c>
    </row>
    <row r="677" spans="1:4" x14ac:dyDescent="0.25">
      <c r="A677" t="str">
        <f>T("   731210")</f>
        <v xml:space="preserve">   731210</v>
      </c>
      <c r="B677" t="str">
        <f>T("   Torons et câbles en fer ou en acier (sauf produits isolés pour l'électricité et sauf fil barbelé pour clôtures et ronces artificielles)")</f>
        <v xml:space="preserve">   Torons et câbles en fer ou en acier (sauf produits isolés pour l'électricité et sauf fil barbelé pour clôtures et ronces artificielles)</v>
      </c>
      <c r="C677">
        <v>237458</v>
      </c>
      <c r="D677">
        <v>5</v>
      </c>
    </row>
    <row r="678" spans="1:4" x14ac:dyDescent="0.25">
      <c r="A678" t="str">
        <f>T("   731589")</f>
        <v xml:space="preserve">   731589</v>
      </c>
      <c r="B678" t="s">
        <v>358</v>
      </c>
      <c r="C678">
        <v>1474757</v>
      </c>
      <c r="D678">
        <v>1996</v>
      </c>
    </row>
    <row r="679" spans="1:4" x14ac:dyDescent="0.25">
      <c r="A679" t="str">
        <f>T("   731815")</f>
        <v xml:space="preserve">   731815</v>
      </c>
      <c r="B679" t="s">
        <v>359</v>
      </c>
      <c r="C679">
        <v>4455048</v>
      </c>
      <c r="D679">
        <v>653</v>
      </c>
    </row>
    <row r="680" spans="1:4" x14ac:dyDescent="0.25">
      <c r="A680" t="str">
        <f>T("   731816")</f>
        <v xml:space="preserve">   731816</v>
      </c>
      <c r="B680" t="str">
        <f>T("   ÉCROUS EN FONTE, FER OU ACIER")</f>
        <v xml:space="preserve">   ÉCROUS EN FONTE, FER OU ACIER</v>
      </c>
      <c r="C680">
        <v>2850239</v>
      </c>
      <c r="D680">
        <v>130</v>
      </c>
    </row>
    <row r="681" spans="1:4" x14ac:dyDescent="0.25">
      <c r="A681" t="str">
        <f>T("   731822")</f>
        <v xml:space="preserve">   731822</v>
      </c>
      <c r="B681" t="str">
        <f>T("   Rondelles en fonte, fer ou acier (sauf rondelles destinées à faire ressort et autres rondelles de blocage)")</f>
        <v xml:space="preserve">   Rondelles en fonte, fer ou acier (sauf rondelles destinées à faire ressort et autres rondelles de blocage)</v>
      </c>
      <c r="C681">
        <v>3843927</v>
      </c>
      <c r="D681">
        <v>144</v>
      </c>
    </row>
    <row r="682" spans="1:4" x14ac:dyDescent="0.25">
      <c r="A682" t="str">
        <f>T("   731824")</f>
        <v xml:space="preserve">   731824</v>
      </c>
      <c r="B682" t="str">
        <f>T("   Goupilles, chevilles et clavettes en fonte, fer ou acier")</f>
        <v xml:space="preserve">   Goupilles, chevilles et clavettes en fonte, fer ou acier</v>
      </c>
      <c r="C682">
        <v>3986271</v>
      </c>
      <c r="D682">
        <v>121</v>
      </c>
    </row>
    <row r="683" spans="1:4" x14ac:dyDescent="0.25">
      <c r="A683" t="str">
        <f>T("   731829")</f>
        <v xml:space="preserve">   731829</v>
      </c>
      <c r="B683" t="str">
        <f>T("   Articles de boulonnerie et de visserie non filetés, en fonte, fer ou acier, n.d.a.")</f>
        <v xml:space="preserve">   Articles de boulonnerie et de visserie non filetés, en fonte, fer ou acier, n.d.a.</v>
      </c>
      <c r="C683">
        <v>2713051</v>
      </c>
      <c r="D683">
        <v>80</v>
      </c>
    </row>
    <row r="684" spans="1:4" x14ac:dyDescent="0.25">
      <c r="A684" t="str">
        <f>T("   732020")</f>
        <v xml:space="preserve">   732020</v>
      </c>
      <c r="B684" t="str">
        <f>T("   RESSORTS EN HÉLICE EN FER OU EN ACIER (À L'EXCL. DES RESSORTS SPIRAUX PLATS, RESSORTS DE MONTRES, RESSORTS POUR CANNES ET MANCHES DE PARAPLUIES ET DE PARASOLS ET SAUF RESSORTS-AMORTISSEURS DE LA SECTION 17)")</f>
        <v xml:space="preserve">   RESSORTS EN HÉLICE EN FER OU EN ACIER (À L'EXCL. DES RESSORTS SPIRAUX PLATS, RESSORTS DE MONTRES, RESSORTS POUR CANNES ET MANCHES DE PARAPLUIES ET DE PARASOLS ET SAUF RESSORTS-AMORTISSEURS DE LA SECTION 17)</v>
      </c>
      <c r="C684">
        <v>209907</v>
      </c>
      <c r="D684">
        <v>18</v>
      </c>
    </row>
    <row r="685" spans="1:4" x14ac:dyDescent="0.25">
      <c r="A685" t="str">
        <f>T("   732090")</f>
        <v xml:space="preserve">   732090</v>
      </c>
      <c r="B685" t="s">
        <v>360</v>
      </c>
      <c r="C685">
        <v>1578896</v>
      </c>
      <c r="D685">
        <v>41</v>
      </c>
    </row>
    <row r="686" spans="1:4" x14ac:dyDescent="0.25">
      <c r="A686" t="str">
        <f>T("   732111")</f>
        <v xml:space="preserve">   732111</v>
      </c>
      <c r="B686" t="s">
        <v>361</v>
      </c>
      <c r="C686">
        <v>40014</v>
      </c>
      <c r="D686">
        <v>600</v>
      </c>
    </row>
    <row r="687" spans="1:4" x14ac:dyDescent="0.25">
      <c r="A687" t="str">
        <f>T("   732112")</f>
        <v xml:space="preserve">   732112</v>
      </c>
      <c r="B687" t="s">
        <v>362</v>
      </c>
      <c r="C687">
        <v>850124</v>
      </c>
      <c r="D687">
        <v>150</v>
      </c>
    </row>
    <row r="688" spans="1:4" x14ac:dyDescent="0.25">
      <c r="A688" t="str">
        <f>T("   732181")</f>
        <v xml:space="preserve">   732181</v>
      </c>
      <c r="B688" t="s">
        <v>363</v>
      </c>
      <c r="C688">
        <v>45728</v>
      </c>
      <c r="D688">
        <v>30</v>
      </c>
    </row>
    <row r="689" spans="1:4" x14ac:dyDescent="0.25">
      <c r="A689" t="str">
        <f>T("   732393")</f>
        <v xml:space="preserve">   732393</v>
      </c>
      <c r="B689" t="s">
        <v>366</v>
      </c>
      <c r="C689">
        <v>400136</v>
      </c>
      <c r="D689">
        <v>2322</v>
      </c>
    </row>
    <row r="690" spans="1:4" x14ac:dyDescent="0.25">
      <c r="A690" t="str">
        <f>T("   732394")</f>
        <v xml:space="preserve">   732394</v>
      </c>
      <c r="B690" t="s">
        <v>367</v>
      </c>
      <c r="C690">
        <v>8741066</v>
      </c>
      <c r="D690">
        <v>6486</v>
      </c>
    </row>
    <row r="691" spans="1:4" x14ac:dyDescent="0.25">
      <c r="A691" t="str">
        <f>T("   732399")</f>
        <v xml:space="preserve">   732399</v>
      </c>
      <c r="B691" t="s">
        <v>368</v>
      </c>
      <c r="C691">
        <v>10391559</v>
      </c>
      <c r="D691">
        <v>14649</v>
      </c>
    </row>
    <row r="692" spans="1:4" x14ac:dyDescent="0.25">
      <c r="A692" t="str">
        <f>T("   732690")</f>
        <v xml:space="preserve">   732690</v>
      </c>
      <c r="B692"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692">
        <v>154610</v>
      </c>
      <c r="D692">
        <v>3</v>
      </c>
    </row>
    <row r="693" spans="1:4" x14ac:dyDescent="0.25">
      <c r="A693" t="str">
        <f>T("   740620")</f>
        <v xml:space="preserve">   740620</v>
      </c>
      <c r="B693" t="str">
        <f>T("   Poudres de cuivre à structure lamellaire; paillettes de cuivre (sauf granulés -grenailles- de cuivre et sauf paillettes découpées du n° 8308)")</f>
        <v xml:space="preserve">   Poudres de cuivre à structure lamellaire; paillettes de cuivre (sauf granulés -grenailles- de cuivre et sauf paillettes découpées du n° 8308)</v>
      </c>
      <c r="C693">
        <v>1289617</v>
      </c>
      <c r="D693">
        <v>416</v>
      </c>
    </row>
    <row r="694" spans="1:4" x14ac:dyDescent="0.25">
      <c r="A694" t="str">
        <f>T("   741600")</f>
        <v xml:space="preserve">   741600</v>
      </c>
      <c r="B694" t="str">
        <f>T("   Ressorts en cuivre (sauf ressorts de montres et rondelles destinées à faire ressort)")</f>
        <v xml:space="preserve">   Ressorts en cuivre (sauf ressorts de montres et rondelles destinées à faire ressort)</v>
      </c>
      <c r="C694">
        <v>388328</v>
      </c>
      <c r="D694">
        <v>31</v>
      </c>
    </row>
    <row r="695" spans="1:4" x14ac:dyDescent="0.25">
      <c r="A695" t="str">
        <f>T("   760110")</f>
        <v xml:space="preserve">   760110</v>
      </c>
      <c r="B695" t="str">
        <f>T("   Aluminium non allié, sous forme brute")</f>
        <v xml:space="preserve">   Aluminium non allié, sous forme brute</v>
      </c>
      <c r="C695">
        <v>1736325</v>
      </c>
      <c r="D695">
        <v>735</v>
      </c>
    </row>
    <row r="696" spans="1:4" x14ac:dyDescent="0.25">
      <c r="A696" t="str">
        <f>T("   760611")</f>
        <v xml:space="preserve">   760611</v>
      </c>
      <c r="B696" t="str">
        <f>T("   TÔLES ET BANDES EN ALUMINIUM NON-ALLIÉ, D'UNE ÉPAISSEUR &gt; 0,2 MM, DE FORME CARRÉE OU RECTANGULAIRE (SAUF TÔLES ET BANDES DÉPLOYÉES)")</f>
        <v xml:space="preserve">   TÔLES ET BANDES EN ALUMINIUM NON-ALLIÉ, D'UNE ÉPAISSEUR &gt; 0,2 MM, DE FORME CARRÉE OU RECTANGULAIRE (SAUF TÔLES ET BANDES DÉPLOYÉES)</v>
      </c>
      <c r="C696">
        <v>101984069</v>
      </c>
      <c r="D696">
        <v>78021</v>
      </c>
    </row>
    <row r="697" spans="1:4" x14ac:dyDescent="0.25">
      <c r="A697" t="str">
        <f>T("   761010")</f>
        <v xml:space="preserve">   761010</v>
      </c>
      <c r="B697" t="str">
        <f>T("   Portes, fenêtres et leurs cadres, chambranles et seuils, en aluminium (sauf pièces de garnissage)")</f>
        <v xml:space="preserve">   Portes, fenêtres et leurs cadres, chambranles et seuils, en aluminium (sauf pièces de garnissage)</v>
      </c>
      <c r="C697">
        <v>10486176</v>
      </c>
      <c r="D697">
        <v>24000</v>
      </c>
    </row>
    <row r="698" spans="1:4" x14ac:dyDescent="0.25">
      <c r="A698" t="str">
        <f>T("   761090")</f>
        <v xml:space="preserve">   761090</v>
      </c>
      <c r="B698" t="str">
        <f>T("   Constructions et parties de constructions, en aluminium, n.d.a., ainsi que tôles, barres, profilés, tubes, tuyaux et simil., en aluminium, n.d.a; (sauf constructions préfabriquées du n° 9406, portes, fenêtres et leurs cadres, chambranles et seuils)")</f>
        <v xml:space="preserve">   Constructions et parties de constructions, en aluminium, n.d.a., ainsi que tôles, barres, profilés, tubes, tuyaux et simil., en aluminium, n.d.a; (sauf constructions préfabriquées du n° 9406, portes, fenêtres et leurs cadres, chambranles et seuils)</v>
      </c>
      <c r="C698">
        <v>3578395</v>
      </c>
      <c r="D698">
        <v>23735</v>
      </c>
    </row>
    <row r="699" spans="1:4" x14ac:dyDescent="0.25">
      <c r="A699" t="str">
        <f>T("   761519")</f>
        <v xml:space="preserve">   761519</v>
      </c>
      <c r="B699" t="s">
        <v>373</v>
      </c>
      <c r="C699">
        <v>186404</v>
      </c>
      <c r="D699">
        <v>519</v>
      </c>
    </row>
    <row r="700" spans="1:4" x14ac:dyDescent="0.25">
      <c r="A700" t="str">
        <f>T("   761699")</f>
        <v xml:space="preserve">   761699</v>
      </c>
      <c r="B700" t="str">
        <f>T("   Ouvrages en aluminium, n.d.a.")</f>
        <v xml:space="preserve">   Ouvrages en aluminium, n.d.a.</v>
      </c>
      <c r="C700">
        <v>4063778</v>
      </c>
      <c r="D700">
        <v>1991</v>
      </c>
    </row>
    <row r="701" spans="1:4" x14ac:dyDescent="0.25">
      <c r="A701" t="str">
        <f>T("   790400")</f>
        <v xml:space="preserve">   790400</v>
      </c>
      <c r="B701" t="str">
        <f>T("   Barres, profilés et fils en zinc, n.d.a.")</f>
        <v xml:space="preserve">   Barres, profilés et fils en zinc, n.d.a.</v>
      </c>
      <c r="C701">
        <v>3155358</v>
      </c>
      <c r="D701">
        <v>2560</v>
      </c>
    </row>
    <row r="702" spans="1:4" x14ac:dyDescent="0.25">
      <c r="A702" t="str">
        <f>T("   820239")</f>
        <v xml:space="preserve">   820239</v>
      </c>
      <c r="B702" t="str">
        <f>T("   Lames de scies circulaires, y.c. les lames de fraises-scies, et leurs parties, en métaux communs et avec partie travaillante en matières autres que l'acier")</f>
        <v xml:space="preserve">   Lames de scies circulaires, y.c. les lames de fraises-scies, et leurs parties, en métaux communs et avec partie travaillante en matières autres que l'acier</v>
      </c>
      <c r="C702">
        <v>3524181</v>
      </c>
      <c r="D702">
        <v>256</v>
      </c>
    </row>
    <row r="703" spans="1:4" x14ac:dyDescent="0.25">
      <c r="A703" t="str">
        <f>T("   820411")</f>
        <v xml:space="preserve">   820411</v>
      </c>
      <c r="B703" t="str">
        <f>T("   Clés de serrage à main, y.c. -les clés dynamométriques-, en métaux communs, à ouverture fixe")</f>
        <v xml:space="preserve">   Clés de serrage à main, y.c. -les clés dynamométriques-, en métaux communs, à ouverture fixe</v>
      </c>
      <c r="C703">
        <v>1524451</v>
      </c>
      <c r="D703">
        <v>47</v>
      </c>
    </row>
    <row r="704" spans="1:4" x14ac:dyDescent="0.25">
      <c r="A704" t="str">
        <f>T("   820420")</f>
        <v xml:space="preserve">   820420</v>
      </c>
      <c r="B704" t="str">
        <f>T("   Douilles de serrage interchangeables, même avec manches, en métaux communs")</f>
        <v xml:space="preserve">   Douilles de serrage interchangeables, même avec manches, en métaux communs</v>
      </c>
      <c r="C704">
        <v>70844</v>
      </c>
      <c r="D704">
        <v>2</v>
      </c>
    </row>
    <row r="705" spans="1:4" x14ac:dyDescent="0.25">
      <c r="A705" t="str">
        <f>T("   820520")</f>
        <v xml:space="preserve">   820520</v>
      </c>
      <c r="B705" t="str">
        <f>T("   Marteaux et masses, avec partie travaillante en métaux communs")</f>
        <v xml:space="preserve">   Marteaux et masses, avec partie travaillante en métaux communs</v>
      </c>
      <c r="C705">
        <v>2172936</v>
      </c>
      <c r="D705">
        <v>226</v>
      </c>
    </row>
    <row r="706" spans="1:4" x14ac:dyDescent="0.25">
      <c r="A706" t="str">
        <f>T("   820540")</f>
        <v xml:space="preserve">   820540</v>
      </c>
      <c r="B706" t="str">
        <f>T("   Tournevis à main")</f>
        <v xml:space="preserve">   Tournevis à main</v>
      </c>
      <c r="C706">
        <v>1530984</v>
      </c>
      <c r="D706">
        <v>312</v>
      </c>
    </row>
    <row r="707" spans="1:4" x14ac:dyDescent="0.25">
      <c r="A707" t="str">
        <f>T("   820559")</f>
        <v xml:space="preserve">   820559</v>
      </c>
      <c r="B707" t="str">
        <f>T("   Outils à main, y.c. -les diamants de vitrier-, en métaux communs, n.d.a.")</f>
        <v xml:space="preserve">   Outils à main, y.c. -les diamants de vitrier-, en métaux communs, n.d.a.</v>
      </c>
      <c r="C707">
        <v>1105584</v>
      </c>
      <c r="D707">
        <v>3273</v>
      </c>
    </row>
    <row r="708" spans="1:4" x14ac:dyDescent="0.25">
      <c r="A708" t="str">
        <f>T("   820890")</f>
        <v xml:space="preserve">   820890</v>
      </c>
      <c r="B708" t="s">
        <v>377</v>
      </c>
      <c r="C708">
        <v>17055</v>
      </c>
      <c r="D708">
        <v>1</v>
      </c>
    </row>
    <row r="709" spans="1:4" x14ac:dyDescent="0.25">
      <c r="A709" t="str">
        <f>T("   821300")</f>
        <v xml:space="preserve">   821300</v>
      </c>
      <c r="B709" t="str">
        <f>T("   Ciseaux à doubles branches et leurs lames, en métaux communs (sauf taille-haies, cisailles et articles simil. actionnés des deux mains, sécateurs et articles simil. actionnés d'une main et sauf ciseaux spéciaux de maréchal-ferrant)")</f>
        <v xml:space="preserve">   Ciseaux à doubles branches et leurs lames, en métaux communs (sauf taille-haies, cisailles et articles simil. actionnés des deux mains, sécateurs et articles simil. actionnés d'une main et sauf ciseaux spéciaux de maréchal-ferrant)</v>
      </c>
      <c r="C709">
        <v>500000</v>
      </c>
      <c r="D709">
        <v>340</v>
      </c>
    </row>
    <row r="710" spans="1:4" x14ac:dyDescent="0.25">
      <c r="A710" t="str">
        <f>T("   830140")</f>
        <v xml:space="preserve">   830140</v>
      </c>
      <c r="B710" t="str">
        <f>T("   Serrures et verrous, en métaux communs (autres que cadenas et serrures des types utilisés pour véhicules automobiles ou meubles)")</f>
        <v xml:space="preserve">   Serrures et verrous, en métaux communs (autres que cadenas et serrures des types utilisés pour véhicules automobiles ou meubles)</v>
      </c>
      <c r="C710">
        <v>236146</v>
      </c>
      <c r="D710">
        <v>4</v>
      </c>
    </row>
    <row r="711" spans="1:4" x14ac:dyDescent="0.25">
      <c r="A711" t="str">
        <f>T("   830170")</f>
        <v xml:space="preserve">   830170</v>
      </c>
      <c r="B711" t="str">
        <f>T("   Clefs présentées isolément, pour cadenas, serrures et verrous, ainsi que pour fermoirs et montures-fermoirs avec serrure, en métaux communs")</f>
        <v xml:space="preserve">   Clefs présentées isolément, pour cadenas, serrures et verrous, ainsi que pour fermoirs et montures-fermoirs avec serrure, en métaux communs</v>
      </c>
      <c r="C711">
        <v>68220</v>
      </c>
      <c r="D711">
        <v>3</v>
      </c>
    </row>
    <row r="712" spans="1:4" x14ac:dyDescent="0.25">
      <c r="A712" t="str">
        <f>T("   830400")</f>
        <v xml:space="preserve">   830400</v>
      </c>
      <c r="B712" t="str">
        <f>T("   Classeurs, fichiers, boîtes de classement, porte-copies, plumiers, porte-cachets et matériel et fournitures simil. de bureau, en métaux communs (à l'excl. des meubles de bureau du n° 9403 et des corbeilles à papier)")</f>
        <v xml:space="preserve">   Classeurs, fichiers, boîtes de classement, porte-copies, plumiers, porte-cachets et matériel et fournitures simil. de bureau, en métaux communs (à l'excl. des meubles de bureau du n° 9403 et des corbeilles à papier)</v>
      </c>
      <c r="C712">
        <v>500000</v>
      </c>
      <c r="D712">
        <v>379</v>
      </c>
    </row>
    <row r="713" spans="1:4" x14ac:dyDescent="0.25">
      <c r="A713" t="str">
        <f>T("   830990")</f>
        <v xml:space="preserve">   830990</v>
      </c>
      <c r="B713" t="str">
        <f>T("   Bouchons [y.c. les bouchons à pas de vis et les bouchons-verseurs], couvercles, capsules pour bouteilles, bondes filetées, plaques de bondes, scellés et autres accessoires d'emballage, en métaux communs (à l'excl. des bouchons-couronnes)")</f>
        <v xml:space="preserve">   Bouchons [y.c. les bouchons à pas de vis et les bouchons-verseurs], couvercles, capsules pour bouteilles, bondes filetées, plaques de bondes, scellés et autres accessoires d'emballage, en métaux communs (à l'excl. des bouchons-couronnes)</v>
      </c>
      <c r="C713">
        <v>304365</v>
      </c>
      <c r="D713">
        <v>136</v>
      </c>
    </row>
    <row r="714" spans="1:4" x14ac:dyDescent="0.25">
      <c r="A714" t="str">
        <f>T("   840790")</f>
        <v xml:space="preserve">   840790</v>
      </c>
      <c r="B714" t="s">
        <v>391</v>
      </c>
      <c r="C714">
        <v>3180094</v>
      </c>
      <c r="D714">
        <v>5919</v>
      </c>
    </row>
    <row r="715" spans="1:4" x14ac:dyDescent="0.25">
      <c r="A715" t="str">
        <f>T("   840820")</f>
        <v xml:space="preserve">   840820</v>
      </c>
      <c r="B715" t="s">
        <v>392</v>
      </c>
      <c r="C715">
        <v>44659383</v>
      </c>
      <c r="D715">
        <v>83472</v>
      </c>
    </row>
    <row r="716" spans="1:4" x14ac:dyDescent="0.25">
      <c r="A716" t="str">
        <f>T("   840890")</f>
        <v xml:space="preserve">   840890</v>
      </c>
      <c r="B716" t="s">
        <v>393</v>
      </c>
      <c r="C716">
        <v>6047295</v>
      </c>
      <c r="D716">
        <v>162</v>
      </c>
    </row>
    <row r="717" spans="1:4" x14ac:dyDescent="0.25">
      <c r="A717" t="str">
        <f>T("   840991")</f>
        <v xml:space="preserve">   840991</v>
      </c>
      <c r="B717" t="str">
        <f>T("   Parties reconnaissables comme étant exclusivement ou principalement destinées aux moteurs à piston à allumage par étincelles, n.d.a.")</f>
        <v xml:space="preserve">   Parties reconnaissables comme étant exclusivement ou principalement destinées aux moteurs à piston à allumage par étincelles, n.d.a.</v>
      </c>
      <c r="C717">
        <v>156774</v>
      </c>
      <c r="D717">
        <v>4</v>
      </c>
    </row>
    <row r="718" spans="1:4" x14ac:dyDescent="0.25">
      <c r="A718" t="str">
        <f>T("   840999")</f>
        <v xml:space="preserve">   840999</v>
      </c>
      <c r="B718"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718">
        <v>6225080</v>
      </c>
      <c r="D718">
        <v>381</v>
      </c>
    </row>
    <row r="719" spans="1:4" x14ac:dyDescent="0.25">
      <c r="A719" t="str">
        <f>T("   841320")</f>
        <v xml:space="preserve">   841320</v>
      </c>
      <c r="B719" t="str">
        <f>T("   Pompes à bras pour liquides (sauf les pompes avec dispositif mesureur ou conçues pour en comporter du n° 8413.11 ou 8413.19)")</f>
        <v xml:space="preserve">   Pompes à bras pour liquides (sauf les pompes avec dispositif mesureur ou conçues pour en comporter du n° 8413.11 ou 8413.19)</v>
      </c>
      <c r="C719">
        <v>15511766</v>
      </c>
      <c r="D719">
        <v>8700</v>
      </c>
    </row>
    <row r="720" spans="1:4" x14ac:dyDescent="0.25">
      <c r="A720" t="str">
        <f>T("   841330")</f>
        <v xml:space="preserve">   841330</v>
      </c>
      <c r="B720" t="str">
        <f>T("   Pompes à carburant, à huile ou à liquide de refroidissement pour moteurs à allumage par étincelles ou par compression")</f>
        <v xml:space="preserve">   Pompes à carburant, à huile ou à liquide de refroidissement pour moteurs à allumage par étincelles ou par compression</v>
      </c>
      <c r="C720">
        <v>8017145</v>
      </c>
      <c r="D720">
        <v>169</v>
      </c>
    </row>
    <row r="721" spans="1:4" x14ac:dyDescent="0.25">
      <c r="A721" t="str">
        <f>T("   841370")</f>
        <v xml:space="preserve">   841370</v>
      </c>
      <c r="B721" t="s">
        <v>396</v>
      </c>
      <c r="C721">
        <v>52805437</v>
      </c>
      <c r="D721">
        <v>4374</v>
      </c>
    </row>
    <row r="722" spans="1:4" x14ac:dyDescent="0.25">
      <c r="A722" t="str">
        <f>T("   841381")</f>
        <v xml:space="preserve">   841381</v>
      </c>
      <c r="B722" t="s">
        <v>397</v>
      </c>
      <c r="C722">
        <v>131907651</v>
      </c>
      <c r="D722">
        <v>9351.25</v>
      </c>
    </row>
    <row r="723" spans="1:4" x14ac:dyDescent="0.25">
      <c r="A723" t="str">
        <f>T("   841391")</f>
        <v xml:space="preserve">   841391</v>
      </c>
      <c r="B723" t="str">
        <f>T("   Parties de pompes pour liquides, n.d.a.")</f>
        <v xml:space="preserve">   Parties de pompes pour liquides, n.d.a.</v>
      </c>
      <c r="C723">
        <v>12881741</v>
      </c>
      <c r="D723">
        <v>1721</v>
      </c>
    </row>
    <row r="724" spans="1:4" x14ac:dyDescent="0.25">
      <c r="A724" t="str">
        <f>T("   841440")</f>
        <v xml:space="preserve">   841440</v>
      </c>
      <c r="B724" t="str">
        <f>T("   Compresseurs d'air montés sur châssis à roues et remorquables")</f>
        <v xml:space="preserve">   Compresseurs d'air montés sur châssis à roues et remorquables</v>
      </c>
      <c r="C724">
        <v>700000</v>
      </c>
      <c r="D724">
        <v>2800</v>
      </c>
    </row>
    <row r="725" spans="1:4" x14ac:dyDescent="0.25">
      <c r="A725" t="str">
        <f>T("   841459")</f>
        <v xml:space="preserve">   841459</v>
      </c>
      <c r="B725" t="str">
        <f>T("   Ventilateurs (sauf ventilateurs de table, de sol, muraux, plafonniers, de toitures ou de fenêtres, à moteur électrique incorporé, d'une puissance &lt;= 125 W)")</f>
        <v xml:space="preserve">   Ventilateurs (sauf ventilateurs de table, de sol, muraux, plafonniers, de toitures ou de fenêtres, à moteur électrique incorporé, d'une puissance &lt;= 125 W)</v>
      </c>
      <c r="C725">
        <v>182769</v>
      </c>
      <c r="D725">
        <v>5</v>
      </c>
    </row>
    <row r="726" spans="1:4" x14ac:dyDescent="0.25">
      <c r="A726" t="str">
        <f>T("   841480")</f>
        <v xml:space="preserve">   841480</v>
      </c>
      <c r="B726" t="s">
        <v>398</v>
      </c>
      <c r="C726">
        <v>1811762</v>
      </c>
      <c r="D726">
        <v>63</v>
      </c>
    </row>
    <row r="727" spans="1:4" x14ac:dyDescent="0.25">
      <c r="A727" t="str">
        <f>T("   841490")</f>
        <v xml:space="preserve">   841490</v>
      </c>
      <c r="B727" t="str">
        <f>T("   Parties de pompes à air ou à vide, de compresseurs d'air ou d'autres gaz et de ventilateurs, de hottes aspirantes à extraction ou à recyclage, à ventilateur incorporé, n.d.a.")</f>
        <v xml:space="preserve">   Parties de pompes à air ou à vide, de compresseurs d'air ou d'autres gaz et de ventilateurs, de hottes aspirantes à extraction ou à recyclage, à ventilateur incorporé, n.d.a.</v>
      </c>
      <c r="C727">
        <v>10467365</v>
      </c>
      <c r="D727">
        <v>36.4</v>
      </c>
    </row>
    <row r="728" spans="1:4" x14ac:dyDescent="0.25">
      <c r="A728" t="str">
        <f>T("   841510")</f>
        <v xml:space="preserve">   841510</v>
      </c>
      <c r="B728" t="s">
        <v>399</v>
      </c>
      <c r="C728">
        <v>30000</v>
      </c>
      <c r="D728">
        <v>50</v>
      </c>
    </row>
    <row r="729" spans="1:4" x14ac:dyDescent="0.25">
      <c r="A729" t="str">
        <f>T("   841780")</f>
        <v xml:space="preserve">   841780</v>
      </c>
      <c r="B729" t="s">
        <v>403</v>
      </c>
      <c r="C729">
        <v>100362</v>
      </c>
      <c r="D729">
        <v>101</v>
      </c>
    </row>
    <row r="730" spans="1:4" x14ac:dyDescent="0.25">
      <c r="A730" t="str">
        <f>T("   841790")</f>
        <v xml:space="preserve">   841790</v>
      </c>
      <c r="B730" t="str">
        <f>T("   Parties de fours industriels ou de laboratoire non-électriques, y.c. d'incinérateurs, n.d.a.")</f>
        <v xml:space="preserve">   Parties de fours industriels ou de laboratoire non-électriques, y.c. d'incinérateurs, n.d.a.</v>
      </c>
      <c r="C730">
        <v>4012507</v>
      </c>
      <c r="D730">
        <v>620</v>
      </c>
    </row>
    <row r="731" spans="1:4" x14ac:dyDescent="0.25">
      <c r="A731" t="str">
        <f>T("   841810")</f>
        <v xml:space="preserve">   841810</v>
      </c>
      <c r="B731" t="str">
        <f>T("   Réfrigérateurs et congélateurs-conservateurs combinés, avec portes extérieures séparées")</f>
        <v xml:space="preserve">   Réfrigérateurs et congélateurs-conservateurs combinés, avec portes extérieures séparées</v>
      </c>
      <c r="C731">
        <v>230000</v>
      </c>
      <c r="D731">
        <v>1100</v>
      </c>
    </row>
    <row r="732" spans="1:4" x14ac:dyDescent="0.25">
      <c r="A732" t="str">
        <f>T("   841821")</f>
        <v xml:space="preserve">   841821</v>
      </c>
      <c r="B732" t="str">
        <f>T("   Réfrigérateurs ménagers à compression")</f>
        <v xml:space="preserve">   Réfrigérateurs ménagers à compression</v>
      </c>
      <c r="C732">
        <v>1450327</v>
      </c>
      <c r="D732">
        <v>7350</v>
      </c>
    </row>
    <row r="733" spans="1:4" x14ac:dyDescent="0.25">
      <c r="A733" t="str">
        <f>T("   841829")</f>
        <v xml:space="preserve">   841829</v>
      </c>
      <c r="B733" t="str">
        <f>T("   Réfrigérateurs ménagers à absorption, non-électriques")</f>
        <v xml:space="preserve">   Réfrigérateurs ménagers à absorption, non-électriques</v>
      </c>
      <c r="C733">
        <v>4649830</v>
      </c>
      <c r="D733">
        <v>9573</v>
      </c>
    </row>
    <row r="734" spans="1:4" x14ac:dyDescent="0.25">
      <c r="A734" t="str">
        <f>T("   841840")</f>
        <v xml:space="preserve">   841840</v>
      </c>
      <c r="B734" t="str">
        <f>T("   Meubles congélateurs-conservateurs du type armoire, capacité &lt;= 900 l")</f>
        <v xml:space="preserve">   Meubles congélateurs-conservateurs du type armoire, capacité &lt;= 900 l</v>
      </c>
      <c r="C734">
        <v>555172</v>
      </c>
      <c r="D734">
        <v>200</v>
      </c>
    </row>
    <row r="735" spans="1:4" x14ac:dyDescent="0.25">
      <c r="A735" t="str">
        <f>T("   841850")</f>
        <v xml:space="preserve">   841850</v>
      </c>
      <c r="B735" t="s">
        <v>404</v>
      </c>
      <c r="C735">
        <v>8014651</v>
      </c>
      <c r="D735">
        <v>690</v>
      </c>
    </row>
    <row r="736" spans="1:4" x14ac:dyDescent="0.25">
      <c r="A736" t="str">
        <f>T("   841869")</f>
        <v xml:space="preserve">   841869</v>
      </c>
      <c r="B736" t="str">
        <f>T("   Matériel, machines et appareils pour la production du froid ainsi que pompes à chaleur à absorption (autres que réfrigérateurs et meubles congélateurs-conservateurs)")</f>
        <v xml:space="preserve">   Matériel, machines et appareils pour la production du froid ainsi que pompes à chaleur à absorption (autres que réfrigérateurs et meubles congélateurs-conservateurs)</v>
      </c>
      <c r="C736">
        <v>9136211</v>
      </c>
      <c r="D736">
        <v>1199</v>
      </c>
    </row>
    <row r="737" spans="1:4" x14ac:dyDescent="0.25">
      <c r="A737" t="str">
        <f>T("   841891")</f>
        <v xml:space="preserve">   841891</v>
      </c>
      <c r="B737" t="str">
        <f>T("   Meubles conçus pour recevoir un équipement pour la production du froid")</f>
        <v xml:space="preserve">   Meubles conçus pour recevoir un équipement pour la production du froid</v>
      </c>
      <c r="C737">
        <v>12827954</v>
      </c>
      <c r="D737">
        <v>12690</v>
      </c>
    </row>
    <row r="738" spans="1:4" x14ac:dyDescent="0.25">
      <c r="A738" t="str">
        <f>T("   842091")</f>
        <v xml:space="preserve">   842091</v>
      </c>
      <c r="B738" t="str">
        <f>T("   Cylindres de calandres et laminoirs (autres que pour les métaux ou le verre)")</f>
        <v xml:space="preserve">   Cylindres de calandres et laminoirs (autres que pour les métaux ou le verre)</v>
      </c>
      <c r="C738">
        <v>202036</v>
      </c>
      <c r="D738">
        <v>5</v>
      </c>
    </row>
    <row r="739" spans="1:4" x14ac:dyDescent="0.25">
      <c r="A739" t="str">
        <f>T("   842121")</f>
        <v xml:space="preserve">   842121</v>
      </c>
      <c r="B739" t="str">
        <f>T("   Appareils pour la filtration ou l'épuration des eaux")</f>
        <v xml:space="preserve">   Appareils pour la filtration ou l'épuration des eaux</v>
      </c>
      <c r="C739">
        <v>140375</v>
      </c>
      <c r="D739">
        <v>4</v>
      </c>
    </row>
    <row r="740" spans="1:4" x14ac:dyDescent="0.25">
      <c r="A740" t="str">
        <f>T("   842123")</f>
        <v xml:space="preserve">   842123</v>
      </c>
      <c r="B740" t="str">
        <f>T("   Appareils pour la filtration des huiles minérales et carburants pour les moteurs à allumage par étincelles ou par compression")</f>
        <v xml:space="preserve">   Appareils pour la filtration des huiles minérales et carburants pour les moteurs à allumage par étincelles ou par compression</v>
      </c>
      <c r="C740">
        <v>5006942</v>
      </c>
      <c r="D740">
        <v>331</v>
      </c>
    </row>
    <row r="741" spans="1:4" x14ac:dyDescent="0.25">
      <c r="A741" t="str">
        <f>T("   842129")</f>
        <v xml:space="preserve">   842129</v>
      </c>
      <c r="B741" t="str">
        <f>T("   Appareils pour la filtration ou l'épuration des liquides (à l'excl. de l'eau ou des boissons, des huiles minérales et carburants pour les moteurs à allumage par étincelles ou par compression ainsi que les reins artificiels)")</f>
        <v xml:space="preserve">   Appareils pour la filtration ou l'épuration des liquides (à l'excl. de l'eau ou des boissons, des huiles minérales et carburants pour les moteurs à allumage par étincelles ou par compression ainsi que les reins artificiels)</v>
      </c>
      <c r="C741">
        <v>5068603</v>
      </c>
      <c r="D741">
        <v>167</v>
      </c>
    </row>
    <row r="742" spans="1:4" x14ac:dyDescent="0.25">
      <c r="A742" t="str">
        <f>T("   842131")</f>
        <v xml:space="preserve">   842131</v>
      </c>
      <c r="B742" t="str">
        <f>T("   Filtres d'entrée d'air pour moteurs à allumage par étincelles ou par compression")</f>
        <v xml:space="preserve">   Filtres d'entrée d'air pour moteurs à allumage par étincelles ou par compression</v>
      </c>
      <c r="C742">
        <v>9173874</v>
      </c>
      <c r="D742">
        <v>480</v>
      </c>
    </row>
    <row r="743" spans="1:4" x14ac:dyDescent="0.25">
      <c r="A743" t="str">
        <f>T("   842139")</f>
        <v xml:space="preserve">   842139</v>
      </c>
      <c r="B743" t="str">
        <f>T("   Appareils pour la filtration ou l'épuration des gaz (autres que pour la séparation isotopique et sauf les filtres d'entrée d'air pour moteurs à allumage par étincelles ou par compression)")</f>
        <v xml:space="preserve">   Appareils pour la filtration ou l'épuration des gaz (autres que pour la séparation isotopique et sauf les filtres d'entrée d'air pour moteurs à allumage par étincelles ou par compression)</v>
      </c>
      <c r="C743">
        <v>1492614</v>
      </c>
      <c r="D743">
        <v>255</v>
      </c>
    </row>
    <row r="744" spans="1:4" x14ac:dyDescent="0.25">
      <c r="A744" t="str">
        <f>T("   842199")</f>
        <v xml:space="preserve">   842199</v>
      </c>
      <c r="B744" t="str">
        <f>T("   Parties d'appareils pour la filtration ou l'épuration des liquides ou des gaz, n.d.a.")</f>
        <v xml:space="preserve">   Parties d'appareils pour la filtration ou l'épuration des liquides ou des gaz, n.d.a.</v>
      </c>
      <c r="C744">
        <v>255169</v>
      </c>
      <c r="D744">
        <v>8</v>
      </c>
    </row>
    <row r="745" spans="1:4" x14ac:dyDescent="0.25">
      <c r="A745" t="str">
        <f>T("   842211")</f>
        <v xml:space="preserve">   842211</v>
      </c>
      <c r="B745" t="str">
        <f>T("   Machines à laver la vaisselle, de type ménager")</f>
        <v xml:space="preserve">   Machines à laver la vaisselle, de type ménager</v>
      </c>
      <c r="C745">
        <v>147591</v>
      </c>
      <c r="D745">
        <v>500</v>
      </c>
    </row>
    <row r="746" spans="1:4" x14ac:dyDescent="0.25">
      <c r="A746" t="str">
        <f>T("   842230")</f>
        <v xml:space="preserve">   842230</v>
      </c>
      <c r="B746" t="str">
        <f>T("   Machines et appareils à remplir, fermer, boucher ou étiqueter les bouteilles, boîtes, sacs ou autres contenants; machines et appareils à capsuler les bouteilles, pots, tubes et contenants analogues; appareils à gazéifier les boissons")</f>
        <v xml:space="preserve">   Machines et appareils à remplir, fermer, boucher ou étiqueter les bouteilles, boîtes, sacs ou autres contenants; machines et appareils à capsuler les bouteilles, pots, tubes et contenants analogues; appareils à gazéifier les boissons</v>
      </c>
      <c r="C746">
        <v>2100000</v>
      </c>
      <c r="D746">
        <v>2800</v>
      </c>
    </row>
    <row r="747" spans="1:4" x14ac:dyDescent="0.25">
      <c r="A747" t="str">
        <f>T("   842290")</f>
        <v xml:space="preserve">   842290</v>
      </c>
      <c r="B747" t="str">
        <f>T("   Parties des machines à laver la vaisselle, des machines à empaqueter ou à emballer les marchandises et autres machines et appareils du n° 8422, n.d.a.")</f>
        <v xml:space="preserve">   Parties des machines à laver la vaisselle, des machines à empaqueter ou à emballer les marchandises et autres machines et appareils du n° 8422, n.d.a.</v>
      </c>
      <c r="C747">
        <v>3622959</v>
      </c>
      <c r="D747">
        <v>57</v>
      </c>
    </row>
    <row r="748" spans="1:4" x14ac:dyDescent="0.25">
      <c r="A748" t="str">
        <f>T("   842410")</f>
        <v xml:space="preserve">   842410</v>
      </c>
      <c r="B748" t="str">
        <f>T("   Extincteurs mécaniques, même chargés (sauf bombes et grenades d'extinction d'incendie)")</f>
        <v xml:space="preserve">   Extincteurs mécaniques, même chargés (sauf bombes et grenades d'extinction d'incendie)</v>
      </c>
      <c r="C748">
        <v>54598</v>
      </c>
      <c r="D748">
        <v>20</v>
      </c>
    </row>
    <row r="749" spans="1:4" x14ac:dyDescent="0.25">
      <c r="A749" t="str">
        <f>T("   842630")</f>
        <v xml:space="preserve">   842630</v>
      </c>
      <c r="B749" t="str">
        <f>T("   Grues sur portiques")</f>
        <v xml:space="preserve">   Grues sur portiques</v>
      </c>
      <c r="C749">
        <v>346481181</v>
      </c>
      <c r="D749">
        <v>92570</v>
      </c>
    </row>
    <row r="750" spans="1:4" x14ac:dyDescent="0.25">
      <c r="A750" t="str">
        <f>T("   842720")</f>
        <v xml:space="preserve">   842720</v>
      </c>
      <c r="B750" t="str">
        <f>T("   Chariots de manutention autopropulsés, autres qu'à moteur électrique, avec dispositif de levage")</f>
        <v xml:space="preserve">   Chariots de manutention autopropulsés, autres qu'à moteur électrique, avec dispositif de levage</v>
      </c>
      <c r="C750">
        <v>24913047</v>
      </c>
      <c r="D750">
        <v>20400</v>
      </c>
    </row>
    <row r="751" spans="1:4" x14ac:dyDescent="0.25">
      <c r="A751" t="str">
        <f>T("   842790")</f>
        <v xml:space="preserve">   842790</v>
      </c>
      <c r="B751" t="str">
        <f>T("   Chariots de manutention munis d'un dispositif de levage mais non autopropulsés")</f>
        <v xml:space="preserve">   Chariots de manutention munis d'un dispositif de levage mais non autopropulsés</v>
      </c>
      <c r="C751">
        <v>36973500</v>
      </c>
      <c r="D751">
        <v>7660</v>
      </c>
    </row>
    <row r="752" spans="1:4" x14ac:dyDescent="0.25">
      <c r="A752" t="str">
        <f>T("   842810")</f>
        <v xml:space="preserve">   842810</v>
      </c>
      <c r="B752" t="str">
        <f>T("   Ascenseurs et monte-charge")</f>
        <v xml:space="preserve">   Ascenseurs et monte-charge</v>
      </c>
      <c r="C752">
        <v>14000810</v>
      </c>
      <c r="D752">
        <v>22000</v>
      </c>
    </row>
    <row r="753" spans="1:4" x14ac:dyDescent="0.25">
      <c r="A753" t="str">
        <f>T("   842840")</f>
        <v xml:space="preserve">   842840</v>
      </c>
      <c r="B753" t="str">
        <f>T("   Escaliers mécaniques et trottoirs roulants")</f>
        <v xml:space="preserve">   Escaliers mécaniques et trottoirs roulants</v>
      </c>
      <c r="C753">
        <v>200068</v>
      </c>
      <c r="D753">
        <v>78</v>
      </c>
    </row>
    <row r="754" spans="1:4" x14ac:dyDescent="0.25">
      <c r="A754" t="str">
        <f>T("   842890")</f>
        <v xml:space="preserve">   842890</v>
      </c>
      <c r="B754" t="str">
        <f>T("   Machines et appareils de levage, chargement, déchargement ou manutention, n.d.a.")</f>
        <v xml:space="preserve">   Machines et appareils de levage, chargement, déchargement ou manutention, n.d.a.</v>
      </c>
      <c r="C754">
        <v>34116480</v>
      </c>
      <c r="D754">
        <v>3146</v>
      </c>
    </row>
    <row r="755" spans="1:4" x14ac:dyDescent="0.25">
      <c r="A755" t="str">
        <f>T("   842911")</f>
        <v xml:space="preserve">   842911</v>
      </c>
      <c r="B755" t="str">
        <f>T("   Bouteurs 'bulldozers' et bouteurs biais 'angledozers', à chenilles")</f>
        <v xml:space="preserve">   Bouteurs 'bulldozers' et bouteurs biais 'angledozers', à chenilles</v>
      </c>
      <c r="C755">
        <v>351135388</v>
      </c>
      <c r="D755">
        <v>126000</v>
      </c>
    </row>
    <row r="756" spans="1:4" x14ac:dyDescent="0.25">
      <c r="A756" t="str">
        <f>T("   842919")</f>
        <v xml:space="preserve">   842919</v>
      </c>
      <c r="B756" t="str">
        <f>T("   Bouteurs 'bulldozers' et bouteurs biais 'angledozers', sur roues")</f>
        <v xml:space="preserve">   Bouteurs 'bulldozers' et bouteurs biais 'angledozers', sur roues</v>
      </c>
      <c r="C756">
        <v>9000427</v>
      </c>
      <c r="D756">
        <v>16600</v>
      </c>
    </row>
    <row r="757" spans="1:4" x14ac:dyDescent="0.25">
      <c r="A757" t="str">
        <f>T("   842920")</f>
        <v xml:space="preserve">   842920</v>
      </c>
      <c r="B757" t="str">
        <f>T("   Niveleuses autopropulsées")</f>
        <v xml:space="preserve">   Niveleuses autopropulsées</v>
      </c>
      <c r="C757">
        <v>43732466</v>
      </c>
      <c r="D757">
        <v>65283</v>
      </c>
    </row>
    <row r="758" spans="1:4" x14ac:dyDescent="0.25">
      <c r="A758" t="str">
        <f>T("   842940")</f>
        <v xml:space="preserve">   842940</v>
      </c>
      <c r="B758" t="str">
        <f>T("   Rouleaux compresseurs et autres compacteuses, autopropulsés")</f>
        <v xml:space="preserve">   Rouleaux compresseurs et autres compacteuses, autopropulsés</v>
      </c>
      <c r="C758">
        <v>18273879</v>
      </c>
      <c r="D758">
        <v>5986</v>
      </c>
    </row>
    <row r="759" spans="1:4" x14ac:dyDescent="0.25">
      <c r="A759" t="str">
        <f>T("   842951")</f>
        <v xml:space="preserve">   842951</v>
      </c>
      <c r="B759" t="str">
        <f>T("   Chargeuses et chargeuses-pelleteuses, à chargement frontal, autopropulsées")</f>
        <v xml:space="preserve">   Chargeuses et chargeuses-pelleteuses, à chargement frontal, autopropulsées</v>
      </c>
      <c r="C759">
        <v>400973078</v>
      </c>
      <c r="D759">
        <v>189870</v>
      </c>
    </row>
    <row r="760" spans="1:4" x14ac:dyDescent="0.25">
      <c r="A760" t="str">
        <f>T("   842952")</f>
        <v xml:space="preserve">   842952</v>
      </c>
      <c r="B760" t="str">
        <f>T("   Pelles mécaniques, autopropulsées, dont la superstructure peut effectuer une rotation de 360°")</f>
        <v xml:space="preserve">   Pelles mécaniques, autopropulsées, dont la superstructure peut effectuer une rotation de 360°</v>
      </c>
      <c r="C760">
        <v>20555163</v>
      </c>
      <c r="D760">
        <v>2943</v>
      </c>
    </row>
    <row r="761" spans="1:4" x14ac:dyDescent="0.25">
      <c r="A761" t="str">
        <f>T("   842959")</f>
        <v xml:space="preserve">   842959</v>
      </c>
      <c r="B761"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761">
        <v>578751541</v>
      </c>
      <c r="D761">
        <v>217000</v>
      </c>
    </row>
    <row r="762" spans="1:4" x14ac:dyDescent="0.25">
      <c r="A762" t="str">
        <f>T("   843050")</f>
        <v xml:space="preserve">   843050</v>
      </c>
      <c r="B762" t="str">
        <f>T("   Machines et appareils de terrassement, nivellement, décapage, excavation, compactage, extraction ou forage de la terre, des minéraux ou des minerais, autopropulsés, n.d.a.")</f>
        <v xml:space="preserve">   Machines et appareils de terrassement, nivellement, décapage, excavation, compactage, extraction ou forage de la terre, des minéraux ou des minerais, autopropulsés, n.d.a.</v>
      </c>
      <c r="C762">
        <v>33139113</v>
      </c>
      <c r="D762">
        <v>62700</v>
      </c>
    </row>
    <row r="763" spans="1:4" x14ac:dyDescent="0.25">
      <c r="A763" t="str">
        <f>T("   843120")</f>
        <v xml:space="preserve">   843120</v>
      </c>
      <c r="B763" t="str">
        <f>T("   Parties de chariots-gerbeurs et autres chariots de manutention munis d'un dispositif de levage, n.d.a.")</f>
        <v xml:space="preserve">   Parties de chariots-gerbeurs et autres chariots de manutention munis d'un dispositif de levage, n.d.a.</v>
      </c>
      <c r="C763">
        <v>135219208</v>
      </c>
      <c r="D763">
        <v>24691</v>
      </c>
    </row>
    <row r="764" spans="1:4" x14ac:dyDescent="0.25">
      <c r="A764" t="str">
        <f>T("   843139")</f>
        <v xml:space="preserve">   843139</v>
      </c>
      <c r="B764" t="str">
        <f>T("   Parties de machines et appareils du n° 8428, n.d.a.")</f>
        <v xml:space="preserve">   Parties de machines et appareils du n° 8428, n.d.a.</v>
      </c>
      <c r="C764">
        <v>46752236</v>
      </c>
      <c r="D764">
        <v>4254</v>
      </c>
    </row>
    <row r="765" spans="1:4" x14ac:dyDescent="0.25">
      <c r="A765" t="str">
        <f>T("   843141")</f>
        <v xml:space="preserve">   843141</v>
      </c>
      <c r="B765" t="str">
        <f>T("   Godets, bennes, bennes-preneuses, pelles, grappins et pinces pour machines et appareils du n° 8426, 8429 ou 8430")</f>
        <v xml:space="preserve">   Godets, bennes, bennes-preneuses, pelles, grappins et pinces pour machines et appareils du n° 8426, 8429 ou 8430</v>
      </c>
      <c r="C765">
        <v>4049051</v>
      </c>
      <c r="D765">
        <v>1245</v>
      </c>
    </row>
    <row r="766" spans="1:4" x14ac:dyDescent="0.25">
      <c r="A766" t="str">
        <f>T("   843149")</f>
        <v xml:space="preserve">   843149</v>
      </c>
      <c r="B766" t="str">
        <f>T("   Parties de machines et appareils du n° 8426, 8429 ou 8430, n.d.a.")</f>
        <v xml:space="preserve">   Parties de machines et appareils du n° 8426, 8429 ou 8430, n.d.a.</v>
      </c>
      <c r="C766">
        <v>310058300</v>
      </c>
      <c r="D766">
        <v>36866.5</v>
      </c>
    </row>
    <row r="767" spans="1:4" x14ac:dyDescent="0.25">
      <c r="A767" t="str">
        <f>T("   843840")</f>
        <v xml:space="preserve">   843840</v>
      </c>
      <c r="B767" t="str">
        <f>T("   Machines et appareils pour la brasserie (sauf centrifugeuses et sauf appareils de filtrage, appareils thermiques et appareils de refroidissement)")</f>
        <v xml:space="preserve">   Machines et appareils pour la brasserie (sauf centrifugeuses et sauf appareils de filtrage, appareils thermiques et appareils de refroidissement)</v>
      </c>
      <c r="C767">
        <v>93359507</v>
      </c>
      <c r="D767">
        <v>6952</v>
      </c>
    </row>
    <row r="768" spans="1:4" x14ac:dyDescent="0.25">
      <c r="A768" t="str">
        <f>T("   843890")</f>
        <v xml:space="preserve">   843890</v>
      </c>
      <c r="B768" t="str">
        <f>T("   Parties des machines et appareils pour le traitement, la préparation ou la fabrication industriels d'aliments ou de boissons, n.d.a.")</f>
        <v xml:space="preserve">   Parties des machines et appareils pour le traitement, la préparation ou la fabrication industriels d'aliments ou de boissons, n.d.a.</v>
      </c>
      <c r="C768">
        <v>49669948</v>
      </c>
      <c r="D768">
        <v>602</v>
      </c>
    </row>
    <row r="769" spans="1:4" x14ac:dyDescent="0.25">
      <c r="A769" t="str">
        <f>T("   844351")</f>
        <v xml:space="preserve">   844351</v>
      </c>
      <c r="B769" t="str">
        <f>T("   Machines à imprimer à jet d'encre")</f>
        <v xml:space="preserve">   Machines à imprimer à jet d'encre</v>
      </c>
      <c r="C769">
        <v>789120</v>
      </c>
      <c r="D769">
        <v>157</v>
      </c>
    </row>
    <row r="770" spans="1:4" x14ac:dyDescent="0.25">
      <c r="A770" t="str">
        <f>T("   844359")</f>
        <v xml:space="preserve">   844359</v>
      </c>
      <c r="B770" t="s">
        <v>424</v>
      </c>
      <c r="C770">
        <v>1873422</v>
      </c>
      <c r="D770">
        <v>925</v>
      </c>
    </row>
    <row r="771" spans="1:4" x14ac:dyDescent="0.25">
      <c r="A771" t="str">
        <f>T("   845019")</f>
        <v xml:space="preserve">   845019</v>
      </c>
      <c r="B771" t="str">
        <f>T("   Machines à laver le linge d'une capacité unitaire exprimée en poids de linge sec &lt;= 6 kg (à l'excl. des machines entièrement automatiques et des machines à laver le linge avec essoreuse centrifuge incorporée)")</f>
        <v xml:space="preserve">   Machines à laver le linge d'une capacité unitaire exprimée en poids de linge sec &lt;= 6 kg (à l'excl. des machines entièrement automatiques et des machines à laver le linge avec essoreuse centrifuge incorporée)</v>
      </c>
      <c r="C771">
        <v>278782</v>
      </c>
      <c r="D771">
        <v>585</v>
      </c>
    </row>
    <row r="772" spans="1:4" x14ac:dyDescent="0.25">
      <c r="A772" t="str">
        <f>T("   845020")</f>
        <v xml:space="preserve">   845020</v>
      </c>
      <c r="B772" t="str">
        <f>T("   Machines à laver le linge, capacité unitaire en poids de linge sec &gt; 10 kg")</f>
        <v xml:space="preserve">   Machines à laver le linge, capacité unitaire en poids de linge sec &gt; 10 kg</v>
      </c>
      <c r="C772">
        <v>6039425</v>
      </c>
      <c r="D772">
        <v>1162</v>
      </c>
    </row>
    <row r="773" spans="1:4" x14ac:dyDescent="0.25">
      <c r="A773" t="str">
        <f>T("   845180")</f>
        <v xml:space="preserve">   845180</v>
      </c>
      <c r="B773" t="s">
        <v>426</v>
      </c>
      <c r="C773">
        <v>300013</v>
      </c>
      <c r="D773">
        <v>800</v>
      </c>
    </row>
    <row r="774" spans="1:4" x14ac:dyDescent="0.25">
      <c r="A774" t="str">
        <f>T("   845229")</f>
        <v xml:space="preserve">   845229</v>
      </c>
      <c r="B774" t="str">
        <f>T("   Machines à coudre de type industriel (sauf unités automatiques)")</f>
        <v xml:space="preserve">   Machines à coudre de type industriel (sauf unités automatiques)</v>
      </c>
      <c r="C774">
        <v>568539</v>
      </c>
      <c r="D774">
        <v>1212.51</v>
      </c>
    </row>
    <row r="775" spans="1:4" x14ac:dyDescent="0.25">
      <c r="A775" t="str">
        <f>T("   846390")</f>
        <v xml:space="preserve">   846390</v>
      </c>
      <c r="B775" t="s">
        <v>430</v>
      </c>
      <c r="C775">
        <v>1750000</v>
      </c>
      <c r="D775">
        <v>2800</v>
      </c>
    </row>
    <row r="776" spans="1:4" x14ac:dyDescent="0.25">
      <c r="A776" t="str">
        <f>T("   846591")</f>
        <v xml:space="preserve">   846591</v>
      </c>
      <c r="B776" t="str">
        <f>T("   Machines à scier, pour le travail du bois, des matières plastiques dures, etc. (autres que pour emploi à la main)")</f>
        <v xml:space="preserve">   Machines à scier, pour le travail du bois, des matières plastiques dures, etc. (autres que pour emploi à la main)</v>
      </c>
      <c r="C776">
        <v>12605454</v>
      </c>
      <c r="D776">
        <v>14810</v>
      </c>
    </row>
    <row r="777" spans="1:4" x14ac:dyDescent="0.25">
      <c r="A777" t="str">
        <f>T("   846599")</f>
        <v xml:space="preserve">   846599</v>
      </c>
      <c r="B777" t="s">
        <v>434</v>
      </c>
      <c r="C777">
        <v>2785862</v>
      </c>
      <c r="D777">
        <v>977</v>
      </c>
    </row>
    <row r="778" spans="1:4" x14ac:dyDescent="0.25">
      <c r="A778" t="str">
        <f>T("   847110")</f>
        <v xml:space="preserve">   847110</v>
      </c>
      <c r="B778" t="str">
        <f>T("   Machines automatiques de traitement de l'information, analogiques ou hybrides")</f>
        <v xml:space="preserve">   Machines automatiques de traitement de l'information, analogiques ou hybrides</v>
      </c>
      <c r="C778">
        <v>657974</v>
      </c>
      <c r="D778">
        <v>316</v>
      </c>
    </row>
    <row r="779" spans="1:4" x14ac:dyDescent="0.25">
      <c r="A779" t="str">
        <f>T("   847130")</f>
        <v xml:space="preserve">   847130</v>
      </c>
      <c r="B779" t="str">
        <f>T("   Machines automatiques de traitement de l'information numériques, portatives, d'un poids &lt;= 10 kg, comportant au moins une unité centrale de traitement, un clavier et un écran (à l'excl. des unités périphériques)")</f>
        <v xml:space="preserve">   Machines automatiques de traitement de l'information numériques, portatives, d'un poids &lt;= 10 kg, comportant au moins une unité centrale de traitement, un clavier et un écran (à l'excl. des unités périphériques)</v>
      </c>
      <c r="C779">
        <v>3729789</v>
      </c>
      <c r="D779">
        <v>20</v>
      </c>
    </row>
    <row r="780" spans="1:4" x14ac:dyDescent="0.25">
      <c r="A780" t="str">
        <f>T("   847149")</f>
        <v xml:space="preserve">   847149</v>
      </c>
      <c r="B780" t="s">
        <v>437</v>
      </c>
      <c r="C780">
        <v>4344650</v>
      </c>
      <c r="D780">
        <v>2257</v>
      </c>
    </row>
    <row r="781" spans="1:4" x14ac:dyDescent="0.25">
      <c r="A781" t="str">
        <f>T("   847180")</f>
        <v xml:space="preserve">   847180</v>
      </c>
      <c r="B781"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781">
        <v>2549762</v>
      </c>
      <c r="D781">
        <v>6322.81</v>
      </c>
    </row>
    <row r="782" spans="1:4" x14ac:dyDescent="0.25">
      <c r="A782" t="str">
        <f>T("   847190")</f>
        <v xml:space="preserve">   847190</v>
      </c>
      <c r="B782"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782">
        <v>26225353</v>
      </c>
      <c r="D782">
        <v>1820</v>
      </c>
    </row>
    <row r="783" spans="1:4" x14ac:dyDescent="0.25">
      <c r="A783" t="str">
        <f>T("   847330")</f>
        <v xml:space="preserve">   847330</v>
      </c>
      <c r="B783" t="str">
        <f>T("   Parties et accessoires pour machines automatiques de traitement de l'information ou pour autres machines du n° 8471, n.d.a.")</f>
        <v xml:space="preserve">   Parties et accessoires pour machines automatiques de traitement de l'information ou pour autres machines du n° 8471, n.d.a.</v>
      </c>
      <c r="C783">
        <v>139719</v>
      </c>
      <c r="D783">
        <v>5</v>
      </c>
    </row>
    <row r="784" spans="1:4" x14ac:dyDescent="0.25">
      <c r="A784" t="str">
        <f>T("   847490")</f>
        <v xml:space="preserve">   847490</v>
      </c>
      <c r="B784" t="str">
        <f>T("   Parties des machines et appareils pour le travail des matières minérales du n° 8474, n.d.a.")</f>
        <v xml:space="preserve">   Parties des machines et appareils pour le travail des matières minérales du n° 8474, n.d.a.</v>
      </c>
      <c r="C784">
        <v>32452402</v>
      </c>
      <c r="D784">
        <v>7555</v>
      </c>
    </row>
    <row r="785" spans="1:4" x14ac:dyDescent="0.25">
      <c r="A785" t="str">
        <f>T("   847981")</f>
        <v xml:space="preserve">   847981</v>
      </c>
      <c r="B785" t="s">
        <v>443</v>
      </c>
      <c r="C785">
        <v>190090</v>
      </c>
      <c r="D785">
        <v>151</v>
      </c>
    </row>
    <row r="786" spans="1:4" x14ac:dyDescent="0.25">
      <c r="A786" t="str">
        <f>T("   847982")</f>
        <v xml:space="preserve">   847982</v>
      </c>
      <c r="B786" t="str">
        <f>T("   Machines et appareils à mélanger, malaxer, concasser, broyer, cribler, tamiser, homogénéiser, émulsionner ou brasser, n.d.a. (à l'excl. des robots industriels)")</f>
        <v xml:space="preserve">   Machines et appareils à mélanger, malaxer, concasser, broyer, cribler, tamiser, homogénéiser, émulsionner ou brasser, n.d.a. (à l'excl. des robots industriels)</v>
      </c>
      <c r="C786">
        <v>92853762</v>
      </c>
      <c r="D786">
        <v>137050</v>
      </c>
    </row>
    <row r="787" spans="1:4" x14ac:dyDescent="0.25">
      <c r="A787" t="str">
        <f>T("   847989")</f>
        <v xml:space="preserve">   847989</v>
      </c>
      <c r="B787" t="str">
        <f>T("   Machines et appareils, y.c. les appareils mécaniques, n.d.a.")</f>
        <v xml:space="preserve">   Machines et appareils, y.c. les appareils mécaniques, n.d.a.</v>
      </c>
      <c r="C787">
        <v>225000</v>
      </c>
      <c r="D787">
        <v>300</v>
      </c>
    </row>
    <row r="788" spans="1:4" x14ac:dyDescent="0.25">
      <c r="A788" t="str">
        <f>T("   847990")</f>
        <v xml:space="preserve">   847990</v>
      </c>
      <c r="B788" t="str">
        <f>T("   Parties de machines et appareils, y.c. les appareils mécaniques, n.d.a.")</f>
        <v xml:space="preserve">   Parties de machines et appareils, y.c. les appareils mécaniques, n.d.a.</v>
      </c>
      <c r="C788">
        <v>3449040</v>
      </c>
      <c r="D788">
        <v>134</v>
      </c>
    </row>
    <row r="789" spans="1:4" x14ac:dyDescent="0.25">
      <c r="A789" t="str">
        <f>T("   848120")</f>
        <v xml:space="preserve">   848120</v>
      </c>
      <c r="B789" t="str">
        <f>T("   Valves pour transmissions oléohydrauliques ou pneumatiques")</f>
        <v xml:space="preserve">   Valves pour transmissions oléohydrauliques ou pneumatiques</v>
      </c>
      <c r="C789">
        <v>894729</v>
      </c>
      <c r="D789">
        <v>30</v>
      </c>
    </row>
    <row r="790" spans="1:4" x14ac:dyDescent="0.25">
      <c r="A790" t="str">
        <f>T("   848180")</f>
        <v xml:space="preserve">   848180</v>
      </c>
      <c r="B790"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790">
        <v>60078722</v>
      </c>
      <c r="D790">
        <v>2250</v>
      </c>
    </row>
    <row r="791" spans="1:4" x14ac:dyDescent="0.25">
      <c r="A791" t="str">
        <f>T("   848210")</f>
        <v xml:space="preserve">   848210</v>
      </c>
      <c r="B791" t="str">
        <f>T("   Roulements à billes")</f>
        <v xml:space="preserve">   Roulements à billes</v>
      </c>
      <c r="C791">
        <v>4145483</v>
      </c>
      <c r="D791">
        <v>306</v>
      </c>
    </row>
    <row r="792" spans="1:4" x14ac:dyDescent="0.25">
      <c r="A792" t="str">
        <f>T("   848240")</f>
        <v xml:space="preserve">   848240</v>
      </c>
      <c r="B792" t="str">
        <f>T("   Roulements à aiguilles")</f>
        <v xml:space="preserve">   Roulements à aiguilles</v>
      </c>
      <c r="C792">
        <v>356711</v>
      </c>
      <c r="D792">
        <v>8</v>
      </c>
    </row>
    <row r="793" spans="1:4" x14ac:dyDescent="0.25">
      <c r="A793" t="str">
        <f>T("   848280")</f>
        <v xml:space="preserve">   848280</v>
      </c>
      <c r="B793" t="s">
        <v>447</v>
      </c>
      <c r="C793">
        <v>21750759</v>
      </c>
      <c r="D793">
        <v>633</v>
      </c>
    </row>
    <row r="794" spans="1:4" x14ac:dyDescent="0.25">
      <c r="A794" t="str">
        <f>T("   848299")</f>
        <v xml:space="preserve">   848299</v>
      </c>
      <c r="B794" t="str">
        <f>T("   Parties de roulements à billes, à galets, à rouleaux ou à aiguilles (à l'excl. de leur organe de roulement), n.d.a.")</f>
        <v xml:space="preserve">   Parties de roulements à billes, à galets, à rouleaux ou à aiguilles (à l'excl. de leur organe de roulement), n.d.a.</v>
      </c>
      <c r="C794">
        <v>2060369</v>
      </c>
      <c r="D794">
        <v>85</v>
      </c>
    </row>
    <row r="795" spans="1:4" x14ac:dyDescent="0.25">
      <c r="A795" t="str">
        <f>T("   848310")</f>
        <v xml:space="preserve">   848310</v>
      </c>
      <c r="B795" t="str">
        <f>T("   Arbres de transmission pour machines, y.c. -les arbres à cames et les vilebrequins- et manivelles")</f>
        <v xml:space="preserve">   Arbres de transmission pour machines, y.c. -les arbres à cames et les vilebrequins- et manivelles</v>
      </c>
      <c r="C795">
        <v>2505768</v>
      </c>
      <c r="D795">
        <v>48</v>
      </c>
    </row>
    <row r="796" spans="1:4" x14ac:dyDescent="0.25">
      <c r="A796" t="str">
        <f>T("   848360")</f>
        <v xml:space="preserve">   848360</v>
      </c>
      <c r="B796" t="str">
        <f>T("   Embrayages et organes d'accouplement, y.c. les joints d'articulation, pour machines")</f>
        <v xml:space="preserve">   Embrayages et organes d'accouplement, y.c. les joints d'articulation, pour machines</v>
      </c>
      <c r="C796">
        <v>2440827</v>
      </c>
      <c r="D796">
        <v>120</v>
      </c>
    </row>
    <row r="797" spans="1:4" x14ac:dyDescent="0.25">
      <c r="A797" t="str">
        <f>T("   848390")</f>
        <v xml:space="preserve">   848390</v>
      </c>
      <c r="B797" t="str">
        <f>T("   Roues dentées et autres organes élémentaires de transmission présentés séparément; parties d'organes mécaniques, d'organes de transmission, d'engrenages, de variateurs de vitesses, d'organes d'accouplement et d'autres organes du n° 8483, n.d.a.")</f>
        <v xml:space="preserve">   Roues dentées et autres organes élémentaires de transmission présentés séparément; parties d'organes mécaniques, d'organes de transmission, d'engrenages, de variateurs de vitesses, d'organes d'accouplement et d'autres organes du n° 8483, n.d.a.</v>
      </c>
      <c r="C797">
        <v>300430</v>
      </c>
      <c r="D797">
        <v>6</v>
      </c>
    </row>
    <row r="798" spans="1:4" x14ac:dyDescent="0.25">
      <c r="A798" t="str">
        <f>T("   848420")</f>
        <v xml:space="preserve">   848420</v>
      </c>
      <c r="B798" t="str">
        <f>T("   Joints d'étanchéité mécaniques")</f>
        <v xml:space="preserve">   Joints d'étanchéité mécaniques</v>
      </c>
      <c r="C798">
        <v>4166455</v>
      </c>
      <c r="D798">
        <v>162</v>
      </c>
    </row>
    <row r="799" spans="1:4" x14ac:dyDescent="0.25">
      <c r="A799" t="str">
        <f>T("   848490")</f>
        <v xml:space="preserve">   848490</v>
      </c>
      <c r="B799" t="str">
        <f>T("   Jeux ou assortiments de joints de composition différente présentés en pochettes, enveloppes ou emballages analogues")</f>
        <v xml:space="preserve">   Jeux ou assortiments de joints de composition différente présentés en pochettes, enveloppes ou emballages analogues</v>
      </c>
      <c r="C799">
        <v>30492301</v>
      </c>
      <c r="D799">
        <v>1027.8</v>
      </c>
    </row>
    <row r="800" spans="1:4" x14ac:dyDescent="0.25">
      <c r="A800" t="str">
        <f>T("   850132")</f>
        <v xml:space="preserve">   850132</v>
      </c>
      <c r="B800" t="str">
        <f>T("   Moteurs et génératrices à courant continu, puissance &gt; 750 W mais &lt;= 75 kW")</f>
        <v xml:space="preserve">   Moteurs et génératrices à courant continu, puissance &gt; 750 W mais &lt;= 75 kW</v>
      </c>
      <c r="C800">
        <v>279819</v>
      </c>
      <c r="D800">
        <v>7</v>
      </c>
    </row>
    <row r="801" spans="1:4" x14ac:dyDescent="0.25">
      <c r="A801" t="str">
        <f>T("   850133")</f>
        <v xml:space="preserve">   850133</v>
      </c>
      <c r="B801" t="str">
        <f>T("   Moteurs et génératrices à courant continu, puissance &gt; 75 kW mais &lt;= 375 kW")</f>
        <v xml:space="preserve">   Moteurs et génératrices à courant continu, puissance &gt; 75 kW mais &lt;= 375 kW</v>
      </c>
      <c r="C801">
        <v>1000000</v>
      </c>
      <c r="D801">
        <v>115</v>
      </c>
    </row>
    <row r="802" spans="1:4" x14ac:dyDescent="0.25">
      <c r="A802" t="str">
        <f>T("   850152")</f>
        <v xml:space="preserve">   850152</v>
      </c>
      <c r="B802" t="str">
        <f>T("   Moteurs à courant alternatif, polyphasés, puissance &gt; 750 W mais &lt;= 75 kW")</f>
        <v xml:space="preserve">   Moteurs à courant alternatif, polyphasés, puissance &gt; 750 W mais &lt;= 75 kW</v>
      </c>
      <c r="C802">
        <v>976724</v>
      </c>
      <c r="D802">
        <v>180</v>
      </c>
    </row>
    <row r="803" spans="1:4" x14ac:dyDescent="0.25">
      <c r="A803" t="str">
        <f>T("   850211")</f>
        <v xml:space="preserve">   850211</v>
      </c>
      <c r="B803" t="s">
        <v>449</v>
      </c>
      <c r="C803">
        <v>4877732</v>
      </c>
      <c r="D803">
        <v>900</v>
      </c>
    </row>
    <row r="804" spans="1:4" x14ac:dyDescent="0.25">
      <c r="A804" t="str">
        <f>T("   850212")</f>
        <v xml:space="preserve">   850212</v>
      </c>
      <c r="B804"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804">
        <v>7786331</v>
      </c>
      <c r="D804">
        <v>3622</v>
      </c>
    </row>
    <row r="805" spans="1:4" x14ac:dyDescent="0.25">
      <c r="A805" t="str">
        <f>T("   850213")</f>
        <v xml:space="preserve">   850213</v>
      </c>
      <c r="B805" t="s">
        <v>450</v>
      </c>
      <c r="C805">
        <v>118261716</v>
      </c>
      <c r="D805">
        <v>17000</v>
      </c>
    </row>
    <row r="806" spans="1:4" x14ac:dyDescent="0.25">
      <c r="A806" t="str">
        <f>T("   850239")</f>
        <v xml:space="preserve">   850239</v>
      </c>
      <c r="B806" t="str">
        <f>T("   Groupes électrogènes (autres qu'à énergie éolienne et à moteurs à piston)")</f>
        <v xml:space="preserve">   Groupes électrogènes (autres qu'à énergie éolienne et à moteurs à piston)</v>
      </c>
      <c r="C806">
        <v>8804</v>
      </c>
      <c r="D806">
        <v>34.6</v>
      </c>
    </row>
    <row r="807" spans="1:4" x14ac:dyDescent="0.25">
      <c r="A807" t="str">
        <f>T("   850410")</f>
        <v xml:space="preserve">   850410</v>
      </c>
      <c r="B807" t="str">
        <f>T("   Ballasts pour lampes ou tubes à décharge")</f>
        <v xml:space="preserve">   Ballasts pour lampes ou tubes à décharge</v>
      </c>
      <c r="C807">
        <v>156467</v>
      </c>
      <c r="D807">
        <v>19</v>
      </c>
    </row>
    <row r="808" spans="1:4" x14ac:dyDescent="0.25">
      <c r="A808" t="str">
        <f>T("   850431")</f>
        <v xml:space="preserve">   850431</v>
      </c>
      <c r="B808" t="str">
        <f>T("   Transformateurs à sec, puissance &lt;= 1 kVA")</f>
        <v xml:space="preserve">   Transformateurs à sec, puissance &lt;= 1 kVA</v>
      </c>
      <c r="C808">
        <v>440195</v>
      </c>
      <c r="D808">
        <v>63</v>
      </c>
    </row>
    <row r="809" spans="1:4" x14ac:dyDescent="0.25">
      <c r="A809" t="str">
        <f>T("   850433")</f>
        <v xml:space="preserve">   850433</v>
      </c>
      <c r="B809" t="str">
        <f>T("   Transformateurs à sec, puissance &gt; 16 kVA mais &lt;= 500 kVA")</f>
        <v xml:space="preserve">   Transformateurs à sec, puissance &gt; 16 kVA mais &lt;= 500 kVA</v>
      </c>
      <c r="C809">
        <v>283090394</v>
      </c>
      <c r="D809">
        <v>93044</v>
      </c>
    </row>
    <row r="810" spans="1:4" x14ac:dyDescent="0.25">
      <c r="A810" t="str">
        <f>T("   850440")</f>
        <v xml:space="preserve">   850440</v>
      </c>
      <c r="B810" t="str">
        <f>T("   CONVERTISSEURS STATIQUES")</f>
        <v xml:space="preserve">   CONVERTISSEURS STATIQUES</v>
      </c>
      <c r="C810">
        <v>3766365</v>
      </c>
      <c r="D810">
        <v>521</v>
      </c>
    </row>
    <row r="811" spans="1:4" x14ac:dyDescent="0.25">
      <c r="A811" t="str">
        <f>T("   850450")</f>
        <v xml:space="preserve">   850450</v>
      </c>
      <c r="B811" t="str">
        <f>T("   Bobines de réactance et autres selfs (autres que pour lampes ou tubes à décharge)")</f>
        <v xml:space="preserve">   Bobines de réactance et autres selfs (autres que pour lampes ou tubes à décharge)</v>
      </c>
      <c r="C811">
        <v>164279</v>
      </c>
      <c r="D811">
        <v>1.64</v>
      </c>
    </row>
    <row r="812" spans="1:4" x14ac:dyDescent="0.25">
      <c r="A812" t="str">
        <f>T("   850610")</f>
        <v xml:space="preserve">   850610</v>
      </c>
      <c r="B812" t="str">
        <f>T("   Piles et batteries de piles électriques, au bioxyde de manganèse (sauf hors d'usage)")</f>
        <v xml:space="preserve">   Piles et batteries de piles électriques, au bioxyde de manganèse (sauf hors d'usage)</v>
      </c>
      <c r="C812">
        <v>89169</v>
      </c>
      <c r="D812">
        <v>400</v>
      </c>
    </row>
    <row r="813" spans="1:4" x14ac:dyDescent="0.25">
      <c r="A813" t="str">
        <f>T("   850680")</f>
        <v xml:space="preserve">   850680</v>
      </c>
      <c r="B813" t="str">
        <f>T("   Piles et batteries de piles électriques (sauf hors d'usage et autres que piles et batteries à l'oxyde d'argent, de mercure, au bioxyde de manganèse, au lithium et à l'air-zinc)")</f>
        <v xml:space="preserve">   Piles et batteries de piles électriques (sauf hors d'usage et autres que piles et batteries à l'oxyde d'argent, de mercure, au bioxyde de manganèse, au lithium et à l'air-zinc)</v>
      </c>
      <c r="C813">
        <v>6868</v>
      </c>
      <c r="D813">
        <v>1</v>
      </c>
    </row>
    <row r="814" spans="1:4" x14ac:dyDescent="0.25">
      <c r="A814" t="str">
        <f>T("   850710")</f>
        <v xml:space="preserve">   850710</v>
      </c>
      <c r="B814" t="str">
        <f>T("   Accumulateurs au plomb, pour le démarrage des moteurs à piston (sauf hors d'usage)")</f>
        <v xml:space="preserve">   Accumulateurs au plomb, pour le démarrage des moteurs à piston (sauf hors d'usage)</v>
      </c>
      <c r="C814">
        <v>1072653</v>
      </c>
      <c r="D814">
        <v>2600</v>
      </c>
    </row>
    <row r="815" spans="1:4" x14ac:dyDescent="0.25">
      <c r="A815" t="str">
        <f>T("   850720")</f>
        <v xml:space="preserve">   850720</v>
      </c>
      <c r="B815" t="str">
        <f>T("   Accumulateurs au plomb (sauf hors d'usage et autres que pour le démarrage des moteurs à piston)")</f>
        <v xml:space="preserve">   Accumulateurs au plomb (sauf hors d'usage et autres que pour le démarrage des moteurs à piston)</v>
      </c>
      <c r="C815">
        <v>21516466</v>
      </c>
      <c r="D815">
        <v>8988</v>
      </c>
    </row>
    <row r="816" spans="1:4" x14ac:dyDescent="0.25">
      <c r="A816" t="str">
        <f>T("   850780")</f>
        <v xml:space="preserve">   850780</v>
      </c>
      <c r="B816" t="str">
        <f>T("   Accumulateurs électriques (sauf hors d'usage et autres qu'au plomb, au nickel-cadmium ou au nickel-fer)")</f>
        <v xml:space="preserve">   Accumulateurs électriques (sauf hors d'usage et autres qu'au plomb, au nickel-cadmium ou au nickel-fer)</v>
      </c>
      <c r="C816">
        <v>3939040</v>
      </c>
      <c r="D816">
        <v>12121</v>
      </c>
    </row>
    <row r="817" spans="1:4" x14ac:dyDescent="0.25">
      <c r="A817" t="str">
        <f>T("   850910")</f>
        <v xml:space="preserve">   850910</v>
      </c>
      <c r="B817" t="str">
        <f>T("   Aspirateurs de poussières, y.c. les aspirateurs de matières sèches et de matières liquides, à moteur électrique incorporé, à usage domestique")</f>
        <v xml:space="preserve">   Aspirateurs de poussières, y.c. les aspirateurs de matières sèches et de matières liquides, à moteur électrique incorporé, à usage domestique</v>
      </c>
      <c r="C817">
        <v>25071</v>
      </c>
      <c r="D817">
        <v>25</v>
      </c>
    </row>
    <row r="818" spans="1:4" x14ac:dyDescent="0.25">
      <c r="A818" t="str">
        <f>T("   850940")</f>
        <v xml:space="preserve">   850940</v>
      </c>
      <c r="B818" t="str">
        <f>T("   Broyeurs et mélangeurs pour aliments; presse-fruits et presse-légumes à moteur électrique incorporé, à usage domestique")</f>
        <v xml:space="preserve">   Broyeurs et mélangeurs pour aliments; presse-fruits et presse-légumes à moteur électrique incorporé, à usage domestique</v>
      </c>
      <c r="C818">
        <v>468325</v>
      </c>
      <c r="D818">
        <v>122</v>
      </c>
    </row>
    <row r="819" spans="1:4" x14ac:dyDescent="0.25">
      <c r="A819" t="str">
        <f>T("   850980")</f>
        <v xml:space="preserve">   850980</v>
      </c>
      <c r="B819" t="s">
        <v>452</v>
      </c>
      <c r="C819">
        <v>527937</v>
      </c>
      <c r="D819">
        <v>186</v>
      </c>
    </row>
    <row r="820" spans="1:4" x14ac:dyDescent="0.25">
      <c r="A820" t="str">
        <f>T("   851110")</f>
        <v xml:space="preserve">   851110</v>
      </c>
      <c r="B820" t="str">
        <f>T("   Bougies d'allumage pour moteurs à allumage par étincelles ou par compression")</f>
        <v xml:space="preserve">   Bougies d'allumage pour moteurs à allumage par étincelles ou par compression</v>
      </c>
      <c r="C820">
        <v>727459</v>
      </c>
      <c r="D820">
        <v>12</v>
      </c>
    </row>
    <row r="821" spans="1:4" x14ac:dyDescent="0.25">
      <c r="A821" t="str">
        <f>T("   851140")</f>
        <v xml:space="preserve">   851140</v>
      </c>
      <c r="B821" t="str">
        <f>T("   Démarreurs, même fonctionnant comme génératrices, pour moteurs à allumage par étincelles ou par compression")</f>
        <v xml:space="preserve">   Démarreurs, même fonctionnant comme génératrices, pour moteurs à allumage par étincelles ou par compression</v>
      </c>
      <c r="C821">
        <v>812412</v>
      </c>
      <c r="D821">
        <v>65</v>
      </c>
    </row>
    <row r="822" spans="1:4" x14ac:dyDescent="0.25">
      <c r="A822" t="str">
        <f>T("   851150")</f>
        <v xml:space="preserve">   851150</v>
      </c>
      <c r="B822" t="str">
        <f>T("   Génératrices pour moteurs à allumage par étincelles ou par compression (autres que dynamos-magnétos et démarreurs fonctionnant comme génératrices)")</f>
        <v xml:space="preserve">   Génératrices pour moteurs à allumage par étincelles ou par compression (autres que dynamos-magnétos et démarreurs fonctionnant comme génératrices)</v>
      </c>
      <c r="C822">
        <v>1953448</v>
      </c>
      <c r="D822">
        <v>133.66999999999999</v>
      </c>
    </row>
    <row r="823" spans="1:4" x14ac:dyDescent="0.25">
      <c r="A823" t="str">
        <f>T("   851180")</f>
        <v xml:space="preserve">   851180</v>
      </c>
      <c r="B823" t="s">
        <v>453</v>
      </c>
      <c r="C823">
        <v>135128</v>
      </c>
      <c r="D823">
        <v>4</v>
      </c>
    </row>
    <row r="824" spans="1:4" x14ac:dyDescent="0.25">
      <c r="A824" t="str">
        <f>T("   851310")</f>
        <v xml:space="preserve">   851310</v>
      </c>
      <c r="B824" t="str">
        <f>T("   Lampes électriques portatives, destinées à fonctionner au moyen de leur propre source d'énergie")</f>
        <v xml:space="preserve">   Lampes électriques portatives, destinées à fonctionner au moyen de leur propre source d'énergie</v>
      </c>
      <c r="C824">
        <v>445798</v>
      </c>
      <c r="D824">
        <v>134</v>
      </c>
    </row>
    <row r="825" spans="1:4" x14ac:dyDescent="0.25">
      <c r="A825" t="str">
        <f>T("   851590")</f>
        <v xml:space="preserve">   851590</v>
      </c>
      <c r="B825" t="str">
        <f>T("   Parties de machines et appareils électriques pour le brasage, le soudage ou la projection à chaud de métaux, de carbures métalliques frittés ou de cermets, n.d.a.")</f>
        <v xml:space="preserve">   Parties de machines et appareils électriques pour le brasage, le soudage ou la projection à chaud de métaux, de carbures métalliques frittés ou de cermets, n.d.a.</v>
      </c>
      <c r="C825">
        <v>269927</v>
      </c>
      <c r="D825">
        <v>119</v>
      </c>
    </row>
    <row r="826" spans="1:4" x14ac:dyDescent="0.25">
      <c r="A826" t="str">
        <f>T("   851640")</f>
        <v xml:space="preserve">   851640</v>
      </c>
      <c r="B826" t="str">
        <f>T("   Fers à repasser électriques")</f>
        <v xml:space="preserve">   Fers à repasser électriques</v>
      </c>
      <c r="C826">
        <v>527392</v>
      </c>
      <c r="D826">
        <v>1558</v>
      </c>
    </row>
    <row r="827" spans="1:4" x14ac:dyDescent="0.25">
      <c r="A827" t="str">
        <f>T("   851650")</f>
        <v xml:space="preserve">   851650</v>
      </c>
      <c r="B827" t="str">
        <f>T("   Fours à micro-ondes")</f>
        <v xml:space="preserve">   Fours à micro-ondes</v>
      </c>
      <c r="C827">
        <v>2188283</v>
      </c>
      <c r="D827">
        <v>1971</v>
      </c>
    </row>
    <row r="828" spans="1:4" x14ac:dyDescent="0.25">
      <c r="A828" t="str">
        <f>T("   851690")</f>
        <v xml:space="preserve">   851690</v>
      </c>
      <c r="B828" t="str">
        <f>T("   Parties des chauffe-eau, appareils de chauffage des locaux, appareils électriques pour la coiffure ou pour sécher les mains, appareils électrothermiques pour usages domestiques et résistances chauffantes, n.d.a.")</f>
        <v xml:space="preserve">   Parties des chauffe-eau, appareils de chauffage des locaux, appareils électriques pour la coiffure ou pour sécher les mains, appareils électrothermiques pour usages domestiques et résistances chauffantes, n.d.a.</v>
      </c>
      <c r="C828">
        <v>2960040</v>
      </c>
      <c r="D828">
        <v>10500</v>
      </c>
    </row>
    <row r="829" spans="1:4" x14ac:dyDescent="0.25">
      <c r="A829" t="str">
        <f>T("   851711")</f>
        <v xml:space="preserve">   851711</v>
      </c>
      <c r="B829" t="str">
        <f>T("   Postes téléphoniques d'usagers pour la téléphonie par fil à combinés sans fil")</f>
        <v xml:space="preserve">   Postes téléphoniques d'usagers pour la téléphonie par fil à combinés sans fil</v>
      </c>
      <c r="C829">
        <v>9867121</v>
      </c>
      <c r="D829">
        <v>205</v>
      </c>
    </row>
    <row r="830" spans="1:4" x14ac:dyDescent="0.25">
      <c r="A830" t="str">
        <f>T("   851719")</f>
        <v xml:space="preserve">   851719</v>
      </c>
      <c r="B830" t="str">
        <f>T("   Postes téléphoniques d'usagers pour la téléphonie par fil; visiophones (sauf postes téléphoniques d'usagers par fil à combinés sans fil et parlophones)")</f>
        <v xml:space="preserve">   Postes téléphoniques d'usagers pour la téléphonie par fil; visiophones (sauf postes téléphoniques d'usagers par fil à combinés sans fil et parlophones)</v>
      </c>
      <c r="C830">
        <v>26239</v>
      </c>
      <c r="D830">
        <v>1</v>
      </c>
    </row>
    <row r="831" spans="1:4" x14ac:dyDescent="0.25">
      <c r="A831" t="str">
        <f>T("   851750")</f>
        <v xml:space="preserve">   851750</v>
      </c>
      <c r="B831" t="s">
        <v>457</v>
      </c>
      <c r="C831">
        <v>1501527023</v>
      </c>
      <c r="D831">
        <v>25285</v>
      </c>
    </row>
    <row r="832" spans="1:4" x14ac:dyDescent="0.25">
      <c r="A832" t="str">
        <f>T("   851780")</f>
        <v xml:space="preserve">   851780</v>
      </c>
      <c r="B832" t="s">
        <v>458</v>
      </c>
      <c r="C832">
        <v>2882514845</v>
      </c>
      <c r="D832">
        <v>167942.2</v>
      </c>
    </row>
    <row r="833" spans="1:4" x14ac:dyDescent="0.25">
      <c r="A833" t="str">
        <f>T("   851790")</f>
        <v xml:space="preserve">   851790</v>
      </c>
      <c r="B833" t="s">
        <v>459</v>
      </c>
      <c r="C833">
        <v>636617864</v>
      </c>
      <c r="D833">
        <v>30583</v>
      </c>
    </row>
    <row r="834" spans="1:4" x14ac:dyDescent="0.25">
      <c r="A834" t="str">
        <f>T("   851829")</f>
        <v xml:space="preserve">   851829</v>
      </c>
      <c r="B834" t="str">
        <f>T("   Haut-parleurs sans enceinte")</f>
        <v xml:space="preserve">   Haut-parleurs sans enceinte</v>
      </c>
      <c r="C834">
        <v>580000</v>
      </c>
      <c r="D834">
        <v>283</v>
      </c>
    </row>
    <row r="835" spans="1:4" x14ac:dyDescent="0.25">
      <c r="A835" t="str">
        <f>T("   851929")</f>
        <v xml:space="preserve">   851929</v>
      </c>
      <c r="B835" t="str">
        <f>T("   ÉLECTROPHONES AVEC AMPLIFICATEUR ET HAUT-PARLEUR (AUTRES QUE COMMANDÉS PAR L'INTRODUCTION D'UNE PIÈCE DE MONNAIE OU D'UN JETON)")</f>
        <v xml:space="preserve">   ÉLECTROPHONES AVEC AMPLIFICATEUR ET HAUT-PARLEUR (AUTRES QUE COMMANDÉS PAR L'INTRODUCTION D'UNE PIÈCE DE MONNAIE OU D'UN JETON)</v>
      </c>
      <c r="C835">
        <v>4387404</v>
      </c>
      <c r="D835">
        <v>281</v>
      </c>
    </row>
    <row r="836" spans="1:4" x14ac:dyDescent="0.25">
      <c r="A836" t="str">
        <f>T("   852190")</f>
        <v xml:space="preserve">   852190</v>
      </c>
      <c r="B836" t="s">
        <v>462</v>
      </c>
      <c r="C836">
        <v>1328157</v>
      </c>
      <c r="D836">
        <v>1438</v>
      </c>
    </row>
    <row r="837" spans="1:4" x14ac:dyDescent="0.25">
      <c r="A837" t="str">
        <f>T("   852713")</f>
        <v xml:space="preserve">   852713</v>
      </c>
      <c r="B837" t="str">
        <f>T("   RÉCEPTEURS DE RADIODIFFUSION POUVANT FONCTIONNER SANS SOURCE D'ÉNERGIE EXTÉRIEURE, COMBINÉS À UN APPAREIL D'ENREGISTREMENT OU DE REPRODUCTION DU SON (À L'EXCL. DES RADIOCASSETTES DE POCHE)")</f>
        <v xml:space="preserve">   RÉCEPTEURS DE RADIODIFFUSION POUVANT FONCTIONNER SANS SOURCE D'ÉNERGIE EXTÉRIEURE, COMBINÉS À UN APPAREIL D'ENREGISTREMENT OU DE REPRODUCTION DU SON (À L'EXCL. DES RADIOCASSETTES DE POCHE)</v>
      </c>
      <c r="C837">
        <v>696141</v>
      </c>
      <c r="D837">
        <v>2780</v>
      </c>
    </row>
    <row r="838" spans="1:4" x14ac:dyDescent="0.25">
      <c r="A838" t="str">
        <f>T("   852719")</f>
        <v xml:space="preserve">   852719</v>
      </c>
      <c r="B838" t="str">
        <f>T("   Récepteurs de radiodiffusion pouvant fonctionner sans source d'énergie extérieure, y.c. les appareils recevant également la radiotéléphonie ou la radiotélégraphie, non combinés à un appareil d'enregistrement et de reproduction du son")</f>
        <v xml:space="preserve">   Récepteurs de radiodiffusion pouvant fonctionner sans source d'énergie extérieure, y.c. les appareils recevant également la radiotéléphonie ou la radiotélégraphie, non combinés à un appareil d'enregistrement et de reproduction du son</v>
      </c>
      <c r="C838">
        <v>197335</v>
      </c>
      <c r="D838">
        <v>2500</v>
      </c>
    </row>
    <row r="839" spans="1:4" x14ac:dyDescent="0.25">
      <c r="A839" t="str">
        <f>T("   852812")</f>
        <v xml:space="preserve">   852812</v>
      </c>
      <c r="B839"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839">
        <v>3066972</v>
      </c>
      <c r="D839">
        <v>2078</v>
      </c>
    </row>
    <row r="840" spans="1:4" x14ac:dyDescent="0.25">
      <c r="A840" t="str">
        <f>T("   852813")</f>
        <v xml:space="preserve">   852813</v>
      </c>
      <c r="B840" t="str">
        <f>T("   Appareils récepteurs pour la télévision en noir et blanc ou en autres monochromes, même incorporant un appareil récepteur de radiodiffusion ou un appareil d'enregistrement ou de reproduction du son ou des images")</f>
        <v xml:space="preserve">   Appareils récepteurs pour la télévision en noir et blanc ou en autres monochromes, même incorporant un appareil récepteur de radiodiffusion ou un appareil d'enregistrement ou de reproduction du son ou des images</v>
      </c>
      <c r="C840">
        <v>851705</v>
      </c>
      <c r="D840">
        <v>2978</v>
      </c>
    </row>
    <row r="841" spans="1:4" x14ac:dyDescent="0.25">
      <c r="A841" t="str">
        <f>T("   852830")</f>
        <v xml:space="preserve">   852830</v>
      </c>
      <c r="B841" t="str">
        <f>T("   Projecteurs vidéo")</f>
        <v xml:space="preserve">   Projecteurs vidéo</v>
      </c>
      <c r="C841">
        <v>163990</v>
      </c>
      <c r="D841">
        <v>50</v>
      </c>
    </row>
    <row r="842" spans="1:4" x14ac:dyDescent="0.25">
      <c r="A842" t="str">
        <f>T("   852910")</f>
        <v xml:space="preserve">   852910</v>
      </c>
      <c r="B842"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842">
        <v>2082017</v>
      </c>
      <c r="D842">
        <v>250</v>
      </c>
    </row>
    <row r="843" spans="1:4" x14ac:dyDescent="0.25">
      <c r="A843" t="str">
        <f>T("   853180")</f>
        <v xml:space="preserve">   853180</v>
      </c>
      <c r="B843" t="s">
        <v>472</v>
      </c>
      <c r="C843">
        <v>268288</v>
      </c>
      <c r="D843">
        <v>10</v>
      </c>
    </row>
    <row r="844" spans="1:4" x14ac:dyDescent="0.25">
      <c r="A844" t="str">
        <f>T("   853590")</f>
        <v xml:space="preserve">   853590</v>
      </c>
      <c r="B844" t="s">
        <v>473</v>
      </c>
      <c r="C844">
        <v>7002372</v>
      </c>
      <c r="D844">
        <v>600</v>
      </c>
    </row>
    <row r="845" spans="1:4" x14ac:dyDescent="0.25">
      <c r="A845" t="str">
        <f>T("   853610")</f>
        <v xml:space="preserve">   853610</v>
      </c>
      <c r="B845" t="str">
        <f>T("   Fusibles et coupe-circuit à fusibles, pour une tension &lt;= 1.000 V")</f>
        <v xml:space="preserve">   Fusibles et coupe-circuit à fusibles, pour une tension &lt;= 1.000 V</v>
      </c>
      <c r="C845">
        <v>100363</v>
      </c>
      <c r="D845">
        <v>3</v>
      </c>
    </row>
    <row r="846" spans="1:4" x14ac:dyDescent="0.25">
      <c r="A846" t="str">
        <f>T("   853650")</f>
        <v xml:space="preserve">   853650</v>
      </c>
      <c r="B846" t="str">
        <f>T("   Interrupteurs, sectionneurs et commutateurs, pour une tension &lt;= 1.000 V (autres que relais et disjoncteurs)")</f>
        <v xml:space="preserve">   Interrupteurs, sectionneurs et commutateurs, pour une tension &lt;= 1.000 V (autres que relais et disjoncteurs)</v>
      </c>
      <c r="C846">
        <v>4939594</v>
      </c>
      <c r="D846">
        <v>212.1</v>
      </c>
    </row>
    <row r="847" spans="1:4" x14ac:dyDescent="0.25">
      <c r="A847" t="str">
        <f>T("   853690")</f>
        <v xml:space="preserve">   853690</v>
      </c>
      <c r="B847" t="s">
        <v>474</v>
      </c>
      <c r="C847">
        <v>21677626</v>
      </c>
      <c r="D847">
        <v>1690</v>
      </c>
    </row>
    <row r="848" spans="1:4" x14ac:dyDescent="0.25">
      <c r="A848" t="str">
        <f>T("   853710")</f>
        <v xml:space="preserve">   853710</v>
      </c>
      <c r="B848"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848">
        <v>58031680</v>
      </c>
      <c r="D848">
        <v>4906</v>
      </c>
    </row>
    <row r="849" spans="1:4" x14ac:dyDescent="0.25">
      <c r="A849" t="str">
        <f>T("   853810")</f>
        <v xml:space="preserve">   853810</v>
      </c>
      <c r="B849" t="str">
        <f>T("   Tableaux, panneaux, consoles, pupitres, armoires et autres supports pour articles du n° 8537, dépourvus de leurs appareils")</f>
        <v xml:space="preserve">   Tableaux, panneaux, consoles, pupitres, armoires et autres supports pour articles du n° 8537, dépourvus de leurs appareils</v>
      </c>
      <c r="C849">
        <v>596504</v>
      </c>
      <c r="D849">
        <v>1515</v>
      </c>
    </row>
    <row r="850" spans="1:4" x14ac:dyDescent="0.25">
      <c r="A850" t="str">
        <f>T("   853890")</f>
        <v xml:space="preserve">   853890</v>
      </c>
      <c r="B850" t="s">
        <v>475</v>
      </c>
      <c r="C850">
        <v>1546077</v>
      </c>
      <c r="D850">
        <v>86</v>
      </c>
    </row>
    <row r="851" spans="1:4" x14ac:dyDescent="0.25">
      <c r="A851" t="str">
        <f>T("   853921")</f>
        <v xml:space="preserve">   853921</v>
      </c>
      <c r="B851" t="str">
        <f>T("   Lampes et tubes halogènes, au tungstène (autres que phares et projecteurs scellés)")</f>
        <v xml:space="preserve">   Lampes et tubes halogènes, au tungstène (autres que phares et projecteurs scellés)</v>
      </c>
      <c r="C851">
        <v>213199</v>
      </c>
      <c r="D851">
        <v>32</v>
      </c>
    </row>
    <row r="852" spans="1:4" x14ac:dyDescent="0.25">
      <c r="A852" t="str">
        <f>T("   853929")</f>
        <v xml:space="preserve">   853929</v>
      </c>
      <c r="B852" t="str">
        <f>T("   Lampes et tubes à incandescence électriques (autres que lampes et tubes halogènes, au tungstène, lampes d'une puissance &lt;= 200 W et pour une tension &gt; 100 V, et lampes à rayons ultraviolets ou infrarouges)")</f>
        <v xml:space="preserve">   Lampes et tubes à incandescence électriques (autres que lampes et tubes halogènes, au tungstène, lampes d'une puissance &lt;= 200 W et pour une tension &gt; 100 V, et lampes à rayons ultraviolets ou infrarouges)</v>
      </c>
      <c r="C852">
        <v>65091</v>
      </c>
      <c r="D852">
        <v>8</v>
      </c>
    </row>
    <row r="853" spans="1:4" x14ac:dyDescent="0.25">
      <c r="A853" t="str">
        <f>T("   853931")</f>
        <v xml:space="preserve">   853931</v>
      </c>
      <c r="B853" t="str">
        <f>T("   Lampes et tubes à décharge, fluorescents, à cathode chaude")</f>
        <v xml:space="preserve">   Lampes et tubes à décharge, fluorescents, à cathode chaude</v>
      </c>
      <c r="C853">
        <v>2407997</v>
      </c>
      <c r="D853">
        <v>372</v>
      </c>
    </row>
    <row r="854" spans="1:4" x14ac:dyDescent="0.25">
      <c r="A854" t="str">
        <f>T("   853932")</f>
        <v xml:space="preserve">   853932</v>
      </c>
      <c r="B854" t="str">
        <f>T("   Lampes à vapeur de mercure ou de sodium; lampes à halogénure métallique")</f>
        <v xml:space="preserve">   Lampes à vapeur de mercure ou de sodium; lampes à halogénure métallique</v>
      </c>
      <c r="C854">
        <v>9506979</v>
      </c>
      <c r="D854">
        <v>1615</v>
      </c>
    </row>
    <row r="855" spans="1:4" x14ac:dyDescent="0.25">
      <c r="A855" t="str">
        <f>T("   853939")</f>
        <v xml:space="preserve">   853939</v>
      </c>
      <c r="B855" t="str">
        <f>T("   Lampes et tubes à décharge (autres que fluorescents, à cathode chaude, à vapeur de mercure ou de sodium, à halogénure métallique et qu'à rayons ultraviolets)")</f>
        <v xml:space="preserve">   Lampes et tubes à décharge (autres que fluorescents, à cathode chaude, à vapeur de mercure ou de sodium, à halogénure métallique et qu'à rayons ultraviolets)</v>
      </c>
      <c r="C855">
        <v>1944922</v>
      </c>
      <c r="D855">
        <v>281</v>
      </c>
    </row>
    <row r="856" spans="1:4" x14ac:dyDescent="0.25">
      <c r="A856" t="str">
        <f>T("   854210")</f>
        <v xml:space="preserve">   854210</v>
      </c>
      <c r="B856" t="str">
        <f>T("   Cartes munies d'un circuit intégré électronique [cartes intelligentes], munies ou non d'une piste magnétique")</f>
        <v xml:space="preserve">   Cartes munies d'un circuit intégré électronique [cartes intelligentes], munies ou non d'une piste magnétique</v>
      </c>
      <c r="C856">
        <v>1751485</v>
      </c>
      <c r="D856">
        <v>42</v>
      </c>
    </row>
    <row r="857" spans="1:4" x14ac:dyDescent="0.25">
      <c r="A857" t="str">
        <f>T("   854229")</f>
        <v xml:space="preserve">   854229</v>
      </c>
      <c r="B857" t="str">
        <f>T("   Circuits intégrés monolithiques, analogiques ou analogiques-numériques")</f>
        <v xml:space="preserve">   Circuits intégrés monolithiques, analogiques ou analogiques-numériques</v>
      </c>
      <c r="C857">
        <v>99706</v>
      </c>
      <c r="D857">
        <v>1</v>
      </c>
    </row>
    <row r="858" spans="1:4" x14ac:dyDescent="0.25">
      <c r="A858" t="str">
        <f>T("   854420")</f>
        <v xml:space="preserve">   854420</v>
      </c>
      <c r="B858" t="str">
        <f>T("   Câbles coaxiaux et autres conducteurs électriques coaxiaux, isolés")</f>
        <v xml:space="preserve">   Câbles coaxiaux et autres conducteurs électriques coaxiaux, isolés</v>
      </c>
      <c r="C858">
        <v>6017553</v>
      </c>
      <c r="D858">
        <v>6988</v>
      </c>
    </row>
    <row r="859" spans="1:4" x14ac:dyDescent="0.25">
      <c r="A859" t="str">
        <f>T("   854449")</f>
        <v xml:space="preserve">   854449</v>
      </c>
      <c r="B859" t="str">
        <f>T("   CONDUCTEURS ÉLECTRIQUES, POUR TENSION &lt;= 1.000 V, ISOLÉS, SANS PIÈCES DE CONNEXION, N.D.A.")</f>
        <v xml:space="preserve">   CONDUCTEURS ÉLECTRIQUES, POUR TENSION &lt;= 1.000 V, ISOLÉS, SANS PIÈCES DE CONNEXION, N.D.A.</v>
      </c>
      <c r="C859">
        <v>23491064</v>
      </c>
      <c r="D859">
        <v>3021</v>
      </c>
    </row>
    <row r="860" spans="1:4" x14ac:dyDescent="0.25">
      <c r="A860" t="str">
        <f>T("   854451")</f>
        <v xml:space="preserve">   854451</v>
      </c>
      <c r="B860" t="str">
        <f>T("   Conducteurs électriques, pour tension &gt; 80 V mais &lt;= 1.000 V, avec pièces de connexion, n.d.a.")</f>
        <v xml:space="preserve">   Conducteurs électriques, pour tension &gt; 80 V mais &lt;= 1.000 V, avec pièces de connexion, n.d.a.</v>
      </c>
      <c r="C860">
        <v>2797669</v>
      </c>
      <c r="D860">
        <v>48</v>
      </c>
    </row>
    <row r="861" spans="1:4" x14ac:dyDescent="0.25">
      <c r="A861" t="str">
        <f>T("   854459")</f>
        <v xml:space="preserve">   854459</v>
      </c>
      <c r="B861" t="str">
        <f>T("   Conducteurs électriques, pour tension &gt; 80 V mais &lt;= 1.000 V, sans pièces de connexion, n.d.a.")</f>
        <v xml:space="preserve">   Conducteurs électriques, pour tension &gt; 80 V mais &lt;= 1.000 V, sans pièces de connexion, n.d.a.</v>
      </c>
      <c r="C861">
        <v>1325583</v>
      </c>
      <c r="D861">
        <v>181</v>
      </c>
    </row>
    <row r="862" spans="1:4" x14ac:dyDescent="0.25">
      <c r="A862" t="str">
        <f>T("   854460")</f>
        <v xml:space="preserve">   854460</v>
      </c>
      <c r="B862" t="str">
        <f>T("   Conducteurs électriques, pour tension &gt; 1.000 V, n.d.a.")</f>
        <v xml:space="preserve">   Conducteurs électriques, pour tension &gt; 1.000 V, n.d.a.</v>
      </c>
      <c r="C862">
        <v>107722</v>
      </c>
      <c r="D862">
        <v>9</v>
      </c>
    </row>
    <row r="863" spans="1:4" x14ac:dyDescent="0.25">
      <c r="A863" t="str">
        <f>T("   860900")</f>
        <v xml:space="preserve">   860900</v>
      </c>
      <c r="B863" t="str">
        <f>T("   CADRES ET CONTENEURS -Y.C. LES CONTENEURS-CITERNES ET LES CONTENEURS-RÉSERVOIRS- SPÉCIALEMENT CONÇUS ET ÉQUIPÉS POUR UN OU PLUSIEURS MODES DE TRANSPORT")</f>
        <v xml:space="preserve">   CADRES ET CONTENEURS -Y.C. LES CONTENEURS-CITERNES ET LES CONTENEURS-RÉSERVOIRS- SPÉCIALEMENT CONÇUS ET ÉQUIPÉS POUR UN OU PLUSIEURS MODES DE TRANSPORT</v>
      </c>
      <c r="C863">
        <v>843231</v>
      </c>
      <c r="D863">
        <v>352</v>
      </c>
    </row>
    <row r="864" spans="1:4" x14ac:dyDescent="0.25">
      <c r="A864" t="str">
        <f>T("   870110")</f>
        <v xml:space="preserve">   870110</v>
      </c>
      <c r="B864" t="str">
        <f>T("   Motoculteurs et tracteurs de construction similaire pour l'industrie (sauf tracteurs pour véhicules automobiles articulés)")</f>
        <v xml:space="preserve">   Motoculteurs et tracteurs de construction similaire pour l'industrie (sauf tracteurs pour véhicules automobiles articulés)</v>
      </c>
      <c r="C864">
        <v>1654354</v>
      </c>
      <c r="D864">
        <v>1500</v>
      </c>
    </row>
    <row r="865" spans="1:4" x14ac:dyDescent="0.25">
      <c r="A865" t="str">
        <f>T("   870120")</f>
        <v xml:space="preserve">   870120</v>
      </c>
      <c r="B865" t="str">
        <f>T("   Tracteurs routiers pour semi-remorques")</f>
        <v xml:space="preserve">   Tracteurs routiers pour semi-remorques</v>
      </c>
      <c r="C865">
        <v>194157753</v>
      </c>
      <c r="D865">
        <v>486501</v>
      </c>
    </row>
    <row r="866" spans="1:4" x14ac:dyDescent="0.25">
      <c r="A866" t="str">
        <f>T("   870190")</f>
        <v xml:space="preserve">   870190</v>
      </c>
      <c r="B866" t="str">
        <f>T("   Tracteurs (à l'excl. des chariots-tracteurs du n° 8709, ainsi que des motoculteurs, tracteurs routiers pour semi-remorques et tracteurs à chenilles)")</f>
        <v xml:space="preserve">   Tracteurs (à l'excl. des chariots-tracteurs du n° 8709, ainsi que des motoculteurs, tracteurs routiers pour semi-remorques et tracteurs à chenilles)</v>
      </c>
      <c r="C866">
        <v>31090626</v>
      </c>
      <c r="D866">
        <v>11180</v>
      </c>
    </row>
    <row r="867" spans="1:4" x14ac:dyDescent="0.25">
      <c r="A867" t="str">
        <f>T("   870210")</f>
        <v xml:space="preserve">   870210</v>
      </c>
      <c r="B867" t="s">
        <v>477</v>
      </c>
      <c r="C867">
        <v>335346589</v>
      </c>
      <c r="D867">
        <v>127403</v>
      </c>
    </row>
    <row r="868" spans="1:4" x14ac:dyDescent="0.25">
      <c r="A868" t="str">
        <f>T("   870290")</f>
        <v xml:space="preserve">   870290</v>
      </c>
      <c r="B868" t="s">
        <v>478</v>
      </c>
      <c r="C868">
        <v>62687172</v>
      </c>
      <c r="D868">
        <v>92873</v>
      </c>
    </row>
    <row r="869" spans="1:4" x14ac:dyDescent="0.25">
      <c r="A869" t="str">
        <f>T("   870322")</f>
        <v xml:space="preserve">   870322</v>
      </c>
      <c r="B869" t="s">
        <v>480</v>
      </c>
      <c r="C869">
        <v>1468776826</v>
      </c>
      <c r="D869">
        <v>1081426</v>
      </c>
    </row>
    <row r="870" spans="1:4" x14ac:dyDescent="0.25">
      <c r="A870" t="str">
        <f>T("   870323")</f>
        <v xml:space="preserve">   870323</v>
      </c>
      <c r="B870" t="s">
        <v>481</v>
      </c>
      <c r="C870">
        <v>429580425</v>
      </c>
      <c r="D870">
        <v>111885</v>
      </c>
    </row>
    <row r="871" spans="1:4" x14ac:dyDescent="0.25">
      <c r="A871" t="str">
        <f>T("   870324")</f>
        <v xml:space="preserve">   870324</v>
      </c>
      <c r="B871" t="s">
        <v>482</v>
      </c>
      <c r="C871">
        <v>93922181</v>
      </c>
      <c r="D871">
        <v>26789</v>
      </c>
    </row>
    <row r="872" spans="1:4" x14ac:dyDescent="0.25">
      <c r="A872" t="str">
        <f>T("   870331")</f>
        <v xml:space="preserve">   870331</v>
      </c>
      <c r="B872" t="s">
        <v>483</v>
      </c>
      <c r="C872">
        <v>2451549</v>
      </c>
      <c r="D872">
        <v>800</v>
      </c>
    </row>
    <row r="873" spans="1:4" x14ac:dyDescent="0.25">
      <c r="A873" t="str">
        <f>T("   870332")</f>
        <v xml:space="preserve">   870332</v>
      </c>
      <c r="B873" t="s">
        <v>484</v>
      </c>
      <c r="C873">
        <v>28896600</v>
      </c>
      <c r="D873">
        <v>6003</v>
      </c>
    </row>
    <row r="874" spans="1:4" x14ac:dyDescent="0.25">
      <c r="A874" t="str">
        <f>T("   870333")</f>
        <v xml:space="preserve">   870333</v>
      </c>
      <c r="B874" t="s">
        <v>485</v>
      </c>
      <c r="C874">
        <v>526156661</v>
      </c>
      <c r="D874">
        <v>59485</v>
      </c>
    </row>
    <row r="875" spans="1:4" x14ac:dyDescent="0.25">
      <c r="A875" t="str">
        <f>T("   870390")</f>
        <v xml:space="preserve">   870390</v>
      </c>
      <c r="B875" t="str">
        <f>T("   Voitures de tourisme et autres véhicules principalement conçus pour le transport de personnes, y.c. les voitures du type 'break' et les voitures de course (sauf véhicules pour se déplacer sur la neige et autres véhicules spéciaux du n° 8703.10)")</f>
        <v xml:space="preserve">   Voitures de tourisme et autres véhicules principalement conçus pour le transport de personnes, y.c. les voitures du type 'break' et les voitures de course (sauf véhicules pour se déplacer sur la neige et autres véhicules spéciaux du n° 8703.10)</v>
      </c>
      <c r="C875">
        <v>10593755</v>
      </c>
      <c r="D875">
        <v>1870</v>
      </c>
    </row>
    <row r="876" spans="1:4" x14ac:dyDescent="0.25">
      <c r="A876" t="str">
        <f>T("   870410")</f>
        <v xml:space="preserve">   870410</v>
      </c>
      <c r="B876" t="str">
        <f>T("   Tombereaux automoteurs utilisés en dehors du réseau routier")</f>
        <v xml:space="preserve">   Tombereaux automoteurs utilisés en dehors du réseau routier</v>
      </c>
      <c r="C876">
        <v>4500542</v>
      </c>
      <c r="D876">
        <v>32300</v>
      </c>
    </row>
    <row r="877" spans="1:4" x14ac:dyDescent="0.25">
      <c r="A877" t="str">
        <f>T("   870421")</f>
        <v xml:space="preserve">   870421</v>
      </c>
      <c r="B877" t="s">
        <v>486</v>
      </c>
      <c r="C877">
        <v>1355152035</v>
      </c>
      <c r="D877">
        <v>354940</v>
      </c>
    </row>
    <row r="878" spans="1:4" x14ac:dyDescent="0.25">
      <c r="A878" t="str">
        <f>T("   870422")</f>
        <v xml:space="preserve">   870422</v>
      </c>
      <c r="B878" t="s">
        <v>487</v>
      </c>
      <c r="C878">
        <v>76820867</v>
      </c>
      <c r="D878">
        <v>231305</v>
      </c>
    </row>
    <row r="879" spans="1:4" x14ac:dyDescent="0.25">
      <c r="A879" t="str">
        <f>T("   870423")</f>
        <v xml:space="preserve">   870423</v>
      </c>
      <c r="B879" t="s">
        <v>488</v>
      </c>
      <c r="C879">
        <v>29309694</v>
      </c>
      <c r="D879">
        <v>53310</v>
      </c>
    </row>
    <row r="880" spans="1:4" x14ac:dyDescent="0.25">
      <c r="A880" t="str">
        <f>T("   870431")</f>
        <v xml:space="preserve">   870431</v>
      </c>
      <c r="B880" t="s">
        <v>489</v>
      </c>
      <c r="C880">
        <v>160757655</v>
      </c>
      <c r="D880">
        <v>65345</v>
      </c>
    </row>
    <row r="881" spans="1:4" x14ac:dyDescent="0.25">
      <c r="A881" t="str">
        <f>T("   870432")</f>
        <v xml:space="preserve">   870432</v>
      </c>
      <c r="B881" t="s">
        <v>490</v>
      </c>
      <c r="C881">
        <v>11462245</v>
      </c>
      <c r="D881">
        <v>1870</v>
      </c>
    </row>
    <row r="882" spans="1:4" x14ac:dyDescent="0.25">
      <c r="A882" t="str">
        <f>T("   870490")</f>
        <v xml:space="preserve">   870490</v>
      </c>
      <c r="B882" t="str">
        <f>T("   Véhicules automobiles pour le transport de marchandises à moteur autre qu'à piston à allumage par étincelles ou moteur diesel ou semi-diesel (sauf tombereaux automoteurs du n° 8704.10, véhicules automobiles à usages spéciaux du n° 8705)")</f>
        <v xml:space="preserve">   Véhicules automobiles pour le transport de marchandises à moteur autre qu'à piston à allumage par étincelles ou moteur diesel ou semi-diesel (sauf tombereaux automoteurs du n° 8704.10, véhicules automobiles à usages spéciaux du n° 8705)</v>
      </c>
      <c r="C882">
        <v>2400000</v>
      </c>
      <c r="D882">
        <v>1900</v>
      </c>
    </row>
    <row r="883" spans="1:4" x14ac:dyDescent="0.25">
      <c r="A883" t="str">
        <f>T("   870510")</f>
        <v xml:space="preserve">   870510</v>
      </c>
      <c r="B883" t="str">
        <f>T("   Camions-grues (sauf dépanneuses)")</f>
        <v xml:space="preserve">   Camions-grues (sauf dépanneuses)</v>
      </c>
      <c r="C883">
        <v>15106805</v>
      </c>
      <c r="D883">
        <v>101000</v>
      </c>
    </row>
    <row r="884" spans="1:4" x14ac:dyDescent="0.25">
      <c r="A884" t="str">
        <f>T("   870540")</f>
        <v xml:space="preserve">   870540</v>
      </c>
      <c r="B884" t="str">
        <f>T("   Camions-bétonnières")</f>
        <v xml:space="preserve">   Camions-bétonnières</v>
      </c>
      <c r="C884">
        <v>6550417</v>
      </c>
      <c r="D884">
        <v>8000</v>
      </c>
    </row>
    <row r="885" spans="1:4" x14ac:dyDescent="0.25">
      <c r="A885" t="str">
        <f>T("   870590")</f>
        <v xml:space="preserve">   870590</v>
      </c>
      <c r="B885" t="s">
        <v>491</v>
      </c>
      <c r="C885">
        <v>24285427</v>
      </c>
      <c r="D885">
        <v>16000</v>
      </c>
    </row>
    <row r="886" spans="1:4" x14ac:dyDescent="0.25">
      <c r="A886" t="str">
        <f>T("   870810")</f>
        <v xml:space="preserve">   870810</v>
      </c>
      <c r="B886" t="str">
        <f>T("   PARE-CHOCS ET LEURS PARTIES DE TRACTEURS, VÉHICULES POUR LE TRANSPORT DE &gt;= 10 PERSONNES, CHAUFFEUR INCLUS, VOITURES DE TOURISME, VÉHICULES POUR LE TRANSPORT DE MARCHANDISES ET VÉHICULES À USAGES SPÉCIAUX DU N° 8701 À 8705, N.D.A")</f>
        <v xml:space="preserve">   PARE-CHOCS ET LEURS PARTIES DE TRACTEURS, VÉHICULES POUR LE TRANSPORT DE &gt;= 10 PERSONNES, CHAUFFEUR INCLUS, VOITURES DE TOURISME, VÉHICULES POUR LE TRANSPORT DE MARCHANDISES ET VÉHICULES À USAGES SPÉCIAUX DU N° 8701 À 8705, N.D.A</v>
      </c>
      <c r="C886">
        <v>1749445</v>
      </c>
      <c r="D886">
        <v>1750</v>
      </c>
    </row>
    <row r="887" spans="1:4" x14ac:dyDescent="0.25">
      <c r="A887" t="str">
        <f>T("   870829")</f>
        <v xml:space="preserve">   870829</v>
      </c>
      <c r="B887" t="s">
        <v>493</v>
      </c>
      <c r="C887">
        <v>3322099</v>
      </c>
      <c r="D887">
        <v>4701</v>
      </c>
    </row>
    <row r="888" spans="1:4" x14ac:dyDescent="0.25">
      <c r="A888" t="str">
        <f>T("   870839")</f>
        <v xml:space="preserve">   870839</v>
      </c>
      <c r="B888" t="str">
        <f>T("   FREINS ET SERVO-FREINS, ET LEURS PARTIES, POUR DE TRACTEURS, VÉHICULES POUR LE TRANSPORT DE &gt;= 10 PERSONNES, CHAUFFEUR INCLUS, VOITURES DE TOURISME, VÉHICULES POUR LE TRANSPORT DE MARCHANDISES ET VÉHICULES À USAGES SPÉCIAUX, N.D.A.")</f>
        <v xml:space="preserve">   FREINS ET SERVO-FREINS, ET LEURS PARTIES, POUR DE TRACTEURS, VÉHICULES POUR LE TRANSPORT DE &gt;= 10 PERSONNES, CHAUFFEUR INCLUS, VOITURES DE TOURISME, VÉHICULES POUR LE TRANSPORT DE MARCHANDISES ET VÉHICULES À USAGES SPÉCIAUX, N.D.A.</v>
      </c>
      <c r="C888">
        <v>551006</v>
      </c>
      <c r="D888">
        <v>32</v>
      </c>
    </row>
    <row r="889" spans="1:4" x14ac:dyDescent="0.25">
      <c r="A889" t="str">
        <f>T("   870840")</f>
        <v xml:space="preserve">   870840</v>
      </c>
      <c r="B889" t="str">
        <f>T("   BOÎTES DE VITESSE ET LEURS PARTIES, POUR TRACTEURS, VÉHICULES POUR LE TRANSPORT DE &gt;= 10 PERSONNES, CHAUFFEUR INCLUS, VOITURES DE TOURISME, VÉHICULES POUR LE TRANSPORT DE MARCHANDISES ET VÉHICULES À USAGES SPÉCIAUX, N.D.A.")</f>
        <v xml:space="preserve">   BOÎTES DE VITESSE ET LEURS PARTIES, POUR TRACTEURS, VÉHICULES POUR LE TRANSPORT DE &gt;= 10 PERSONNES, CHAUFFEUR INCLUS, VOITURES DE TOURISME, VÉHICULES POUR LE TRANSPORT DE MARCHANDISES ET VÉHICULES À USAGES SPÉCIAUX, N.D.A.</v>
      </c>
      <c r="C889">
        <v>4589097</v>
      </c>
      <c r="D889">
        <v>3282</v>
      </c>
    </row>
    <row r="890" spans="1:4" x14ac:dyDescent="0.25">
      <c r="A890" t="str">
        <f>T("   870850")</f>
        <v xml:space="preserve">   870850</v>
      </c>
      <c r="B890" t="s">
        <v>494</v>
      </c>
      <c r="C890">
        <v>1982968</v>
      </c>
      <c r="D890">
        <v>3008</v>
      </c>
    </row>
    <row r="891" spans="1:4" x14ac:dyDescent="0.25">
      <c r="A891" t="str">
        <f>T("   870870")</f>
        <v xml:space="preserve">   870870</v>
      </c>
      <c r="B891" t="str">
        <f>T("   ROUES, LEURS PARTIES ET ACCESSOIRES POUR TRACTEURS, VÉHICULES POUR LE TRANSPORT DE &gt;= 10 PERSONNES, CHAUFFEUR INCLUS, VOITURES DE TOURISME, VÉHICULES POUR LE TRANSPORT DE MARCHANDISES ET VÉHICULES À USAGES SPÉCIAUX, N.D.A.")</f>
        <v xml:space="preserve">   ROUES, LEURS PARTIES ET ACCESSOIRES POUR TRACTEURS, VÉHICULES POUR LE TRANSPORT DE &gt;= 10 PERSONNES, CHAUFFEUR INCLUS, VOITURES DE TOURISME, VÉHICULES POUR LE TRANSPORT DE MARCHANDISES ET VÉHICULES À USAGES SPÉCIAUX, N.D.A.</v>
      </c>
      <c r="C891">
        <v>51598</v>
      </c>
      <c r="D891">
        <v>170</v>
      </c>
    </row>
    <row r="892" spans="1:4" x14ac:dyDescent="0.25">
      <c r="A892" t="str">
        <f>T("   870880")</f>
        <v xml:space="preserve">   870880</v>
      </c>
      <c r="B892" t="s">
        <v>495</v>
      </c>
      <c r="C892">
        <v>426137</v>
      </c>
      <c r="D892">
        <v>210</v>
      </c>
    </row>
    <row r="893" spans="1:4" x14ac:dyDescent="0.25">
      <c r="A893" t="str">
        <f>T("   870891")</f>
        <v xml:space="preserve">   870891</v>
      </c>
      <c r="B893" t="str">
        <f>T("   RADIATEURS ET LEURS PARTIES, POUR TRACTEURS, VÉHICULES POUR LE TRANSPORT DE &gt;= 10 PERSONNES, CHAUFFEUR INCLUS, VOITURES DE TOURISME, VÉHICULES POUR LE TRANSPORT DE MARCHANDISES ET VÉHICULES À USAGES SPÉCIAUX, N.D.A.")</f>
        <v xml:space="preserve">   RADIATEURS ET LEURS PARTIES, POUR TRACTEURS, VÉHICULES POUR LE TRANSPORT DE &gt;= 10 PERSONNES, CHAUFFEUR INCLUS, VOITURES DE TOURISME, VÉHICULES POUR LE TRANSPORT DE MARCHANDISES ET VÉHICULES À USAGES SPÉCIAUX, N.D.A.</v>
      </c>
      <c r="C893">
        <v>9699681</v>
      </c>
      <c r="D893">
        <v>980</v>
      </c>
    </row>
    <row r="894" spans="1:4" x14ac:dyDescent="0.25">
      <c r="A894" t="str">
        <f>T("   870899")</f>
        <v xml:space="preserve">   870899</v>
      </c>
      <c r="B894"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894">
        <v>57248907</v>
      </c>
      <c r="D894">
        <v>64872.9</v>
      </c>
    </row>
    <row r="895" spans="1:4" x14ac:dyDescent="0.25">
      <c r="A895" t="str">
        <f>T("   870919")</f>
        <v xml:space="preserve">   870919</v>
      </c>
      <c r="B895" t="str">
        <f>T("   CHARIOTS AUTOMOBILES NON-ÉLECTRIQUES, NON-MUNIS D'UN DISPOSITIF DE LEVAGE, DES TYPES UTILISÉS POUR LE TRANSPORT DES MARCHANDISES SUR DE COURTES DISTANCES, Y.C. LES CHARIOTS-TRACTEURS DES TYPES UTILISÉS DANS LES GARES")</f>
        <v xml:space="preserve">   CHARIOTS AUTOMOBILES NON-ÉLECTRIQUES, NON-MUNIS D'UN DISPOSITIF DE LEVAGE, DES TYPES UTILISÉS POUR LE TRANSPORT DES MARCHANDISES SUR DE COURTES DISTANCES, Y.C. LES CHARIOTS-TRACTEURS DES TYPES UTILISÉS DANS LES GARES</v>
      </c>
      <c r="C895">
        <v>1321760</v>
      </c>
      <c r="D895">
        <v>1500</v>
      </c>
    </row>
    <row r="896" spans="1:4" x14ac:dyDescent="0.25">
      <c r="A896" t="str">
        <f>T("   871120")</f>
        <v xml:space="preserve">   871120</v>
      </c>
      <c r="B896" t="str">
        <f>T("   Motocycles à moteur à piston alternatif, cylindrée &gt; 50 cm³ mais &lt;= 250 cm³")</f>
        <v xml:space="preserve">   Motocycles à moteur à piston alternatif, cylindrée &gt; 50 cm³ mais &lt;= 250 cm³</v>
      </c>
      <c r="C896">
        <v>1116000</v>
      </c>
      <c r="D896">
        <v>1580</v>
      </c>
    </row>
    <row r="897" spans="1:4" x14ac:dyDescent="0.25">
      <c r="A897" t="str">
        <f>T("   871140")</f>
        <v xml:space="preserve">   871140</v>
      </c>
      <c r="B897" t="str">
        <f>T("   Motocycles à moteur à piston alternatif, cylindrée &gt; 500 cm³ mais &lt;= 800 cm³")</f>
        <v xml:space="preserve">   Motocycles à moteur à piston alternatif, cylindrée &gt; 500 cm³ mais &lt;= 800 cm³</v>
      </c>
      <c r="C897">
        <v>600203</v>
      </c>
      <c r="D897">
        <v>500</v>
      </c>
    </row>
    <row r="898" spans="1:4" x14ac:dyDescent="0.25">
      <c r="A898" t="str">
        <f>T("   871200")</f>
        <v xml:space="preserve">   871200</v>
      </c>
      <c r="B898" t="str">
        <f>T("   BICYCLETTES ET AUTRES CYCLES, -Y.C. LES TRIPORTEURS-, SANS MOTEUR")</f>
        <v xml:space="preserve">   BICYCLETTES ET AUTRES CYCLES, -Y.C. LES TRIPORTEURS-, SANS MOTEUR</v>
      </c>
      <c r="C898">
        <v>4603563</v>
      </c>
      <c r="D898">
        <v>5167</v>
      </c>
    </row>
    <row r="899" spans="1:4" x14ac:dyDescent="0.25">
      <c r="A899" t="str">
        <f>T("   871492")</f>
        <v xml:space="preserve">   871492</v>
      </c>
      <c r="B899" t="str">
        <f>T("   Jantes et rayons, de bicyclettes")</f>
        <v xml:space="preserve">   Jantes et rayons, de bicyclettes</v>
      </c>
      <c r="C899">
        <v>565438</v>
      </c>
      <c r="D899">
        <v>1738</v>
      </c>
    </row>
    <row r="900" spans="1:4" x14ac:dyDescent="0.25">
      <c r="A900" t="str">
        <f>T("   871610")</f>
        <v xml:space="preserve">   871610</v>
      </c>
      <c r="B900" t="str">
        <f>T("   Remorques et semi-remorques pour l'habitation ou le camping, du type caravane")</f>
        <v xml:space="preserve">   Remorques et semi-remorques pour l'habitation ou le camping, du type caravane</v>
      </c>
      <c r="C900">
        <v>929660</v>
      </c>
      <c r="D900">
        <v>1710</v>
      </c>
    </row>
    <row r="901" spans="1:4" x14ac:dyDescent="0.25">
      <c r="A901" t="str">
        <f>T("   871620")</f>
        <v xml:space="preserve">   871620</v>
      </c>
      <c r="B901" t="str">
        <f>T("   Remorques et semi-remorques autochargeuses ou autodéchargeuses, pour usages agricoles")</f>
        <v xml:space="preserve">   Remorques et semi-remorques autochargeuses ou autodéchargeuses, pour usages agricoles</v>
      </c>
      <c r="C901">
        <v>1327686</v>
      </c>
      <c r="D901">
        <v>3000</v>
      </c>
    </row>
    <row r="902" spans="1:4" x14ac:dyDescent="0.25">
      <c r="A902" t="str">
        <f>T("   871639")</f>
        <v xml:space="preserve">   871639</v>
      </c>
      <c r="B902" t="str">
        <f>T("   Remorques ne circulant pas sur rails, pour le transport des marchandises (sauf remorques destinées à des usages agricoles, remorques autochargeuses ou autodéchargeuses et remorques-citernes)")</f>
        <v xml:space="preserve">   Remorques ne circulant pas sur rails, pour le transport des marchandises (sauf remorques destinées à des usages agricoles, remorques autochargeuses ou autodéchargeuses et remorques-citernes)</v>
      </c>
      <c r="C902">
        <v>276757</v>
      </c>
      <c r="D902">
        <v>8880</v>
      </c>
    </row>
    <row r="903" spans="1:4" x14ac:dyDescent="0.25">
      <c r="A903" t="str">
        <f>T("   871640")</f>
        <v xml:space="preserve">   871640</v>
      </c>
      <c r="B903"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903">
        <v>75399373</v>
      </c>
      <c r="D903">
        <v>267813</v>
      </c>
    </row>
    <row r="904" spans="1:4" x14ac:dyDescent="0.25">
      <c r="A904" t="str">
        <f>T("   901730")</f>
        <v xml:space="preserve">   901730</v>
      </c>
      <c r="B904" t="str">
        <f>T("   Micromètres, pieds à coulisses, calibres et jauges")</f>
        <v xml:space="preserve">   Micromètres, pieds à coulisses, calibres et jauges</v>
      </c>
      <c r="C904">
        <v>580709</v>
      </c>
      <c r="D904">
        <v>7</v>
      </c>
    </row>
    <row r="905" spans="1:4" x14ac:dyDescent="0.25">
      <c r="A905" t="str">
        <f>T("   901819")</f>
        <v xml:space="preserve">   901819</v>
      </c>
      <c r="B905" t="s">
        <v>502</v>
      </c>
      <c r="C905">
        <v>1450000</v>
      </c>
      <c r="D905">
        <v>2210</v>
      </c>
    </row>
    <row r="906" spans="1:4" x14ac:dyDescent="0.25">
      <c r="A906" t="str">
        <f>T("   901831")</f>
        <v xml:space="preserve">   901831</v>
      </c>
      <c r="B906" t="str">
        <f>T("   Seringues, avec ou sans aiguilles, pour la médecine")</f>
        <v xml:space="preserve">   Seringues, avec ou sans aiguilles, pour la médecine</v>
      </c>
      <c r="C906">
        <v>5040311</v>
      </c>
      <c r="D906">
        <v>1381</v>
      </c>
    </row>
    <row r="907" spans="1:4" x14ac:dyDescent="0.25">
      <c r="A907" t="str">
        <f>T("   901832")</f>
        <v xml:space="preserve">   901832</v>
      </c>
      <c r="B907" t="str">
        <f>T("   Aiguilles tubulaires en métal et aiguilles à sutures, pour la médecine")</f>
        <v xml:space="preserve">   Aiguilles tubulaires en métal et aiguilles à sutures, pour la médecine</v>
      </c>
      <c r="C907">
        <v>1869073</v>
      </c>
      <c r="D907">
        <v>269</v>
      </c>
    </row>
    <row r="908" spans="1:4" x14ac:dyDescent="0.25">
      <c r="A908" t="str">
        <f>T("   901839")</f>
        <v xml:space="preserve">   901839</v>
      </c>
      <c r="B908" t="str">
        <f>T("   AIGUILLES, CTHEÉTERS, CANULES ET SIMIL. POUR LA MÉDECINE (SAUF SERINGUES, AIGUILLES TUBULAIRES EN MÉTAL ET AIGUILLES À SUTURES)")</f>
        <v xml:space="preserve">   AIGUILLES, CTHEÉTERS, CANULES ET SIMIL. POUR LA MÉDECINE (SAUF SERINGUES, AIGUILLES TUBULAIRES EN MÉTAL ET AIGUILLES À SUTURES)</v>
      </c>
      <c r="C908">
        <v>19964897</v>
      </c>
      <c r="D908">
        <v>25109</v>
      </c>
    </row>
    <row r="909" spans="1:4" x14ac:dyDescent="0.25">
      <c r="A909" t="str">
        <f>T("   901890")</f>
        <v xml:space="preserve">   901890</v>
      </c>
      <c r="B909" t="str">
        <f>T("   Instruments et appareils pour la médecine, la chirurgie ou l'art vétérinaire, n.d.a.")</f>
        <v xml:space="preserve">   Instruments et appareils pour la médecine, la chirurgie ou l'art vétérinaire, n.d.a.</v>
      </c>
      <c r="C909">
        <v>22900731</v>
      </c>
      <c r="D909">
        <v>7756.43</v>
      </c>
    </row>
    <row r="910" spans="1:4" x14ac:dyDescent="0.25">
      <c r="A910" t="str">
        <f>T("   902190")</f>
        <v xml:space="preserve">   902190</v>
      </c>
      <c r="B910" t="s">
        <v>503</v>
      </c>
      <c r="C910">
        <v>657974</v>
      </c>
      <c r="D910">
        <v>316</v>
      </c>
    </row>
    <row r="911" spans="1:4" x14ac:dyDescent="0.25">
      <c r="A911" t="str">
        <f>T("   902214")</f>
        <v xml:space="preserve">   902214</v>
      </c>
      <c r="B911" t="str">
        <f>T("   Appareils à rayons X pour usages médicaux, chirurgicaux ou vétérinaires (à l'excl. des appareils pour l'art dentaire et des appareils de tomographie pilotés par une machine automatique de traitement de l'information)")</f>
        <v xml:space="preserve">   Appareils à rayons X pour usages médicaux, chirurgicaux ou vétérinaires (à l'excl. des appareils pour l'art dentaire et des appareils de tomographie pilotés par une machine automatique de traitement de l'information)</v>
      </c>
      <c r="C911">
        <v>2030852</v>
      </c>
      <c r="D911">
        <v>500</v>
      </c>
    </row>
    <row r="912" spans="1:4" x14ac:dyDescent="0.25">
      <c r="A912" t="str">
        <f>T("   902219")</f>
        <v xml:space="preserve">   902219</v>
      </c>
      <c r="B912" t="str">
        <f>T("   Appareils à rayons X (à usage autre que médical, chirurgical, dentaire ou vétérinaire)")</f>
        <v xml:space="preserve">   Appareils à rayons X (à usage autre que médical, chirurgical, dentaire ou vétérinaire)</v>
      </c>
      <c r="C912">
        <v>2533447</v>
      </c>
      <c r="D912">
        <v>679</v>
      </c>
    </row>
    <row r="913" spans="1:4" x14ac:dyDescent="0.25">
      <c r="A913" t="str">
        <f>T("   902480")</f>
        <v xml:space="preserve">   902480</v>
      </c>
      <c r="B913" t="str">
        <f>T("   Machines et appareils d'essais des propriétés mécaniques des matériaux (autres que les métaux)")</f>
        <v xml:space="preserve">   Machines et appareils d'essais des propriétés mécaniques des matériaux (autres que les métaux)</v>
      </c>
      <c r="C913">
        <v>1384719</v>
      </c>
      <c r="D913">
        <v>1610</v>
      </c>
    </row>
    <row r="914" spans="1:4" x14ac:dyDescent="0.25">
      <c r="A914" t="str">
        <f>T("   902519")</f>
        <v xml:space="preserve">   902519</v>
      </c>
      <c r="B914" t="str">
        <f>T("   THERMOMÈTRES ET PYROMÈTRES, NON-COMBINÉS À D'AUTRES INSTRUMENTS (À L'EXCL. DES THERMOMÈTRES À LIQUIDE, À LECTURE DIRECTE) [01/01/1988-31/12/1991: THERMOMÈTRES, NON COMBINES A D'AUTRES INSTRUMENTS, (NON REPR. SOUS 9025.11)]")</f>
        <v xml:space="preserve">   THERMOMÈTRES ET PYROMÈTRES, NON-COMBINÉS À D'AUTRES INSTRUMENTS (À L'EXCL. DES THERMOMÈTRES À LIQUIDE, À LECTURE DIRECTE) [01/01/1988-31/12/1991: THERMOMÈTRES, NON COMBINES A D'AUTRES INSTRUMENTS, (NON REPR. SOUS 9025.11)]</v>
      </c>
      <c r="C914">
        <v>1324752</v>
      </c>
      <c r="D914">
        <v>4</v>
      </c>
    </row>
    <row r="915" spans="1:4" x14ac:dyDescent="0.25">
      <c r="A915" t="str">
        <f>T("   902580")</f>
        <v xml:space="preserve">   902580</v>
      </c>
      <c r="B915" t="s">
        <v>505</v>
      </c>
      <c r="C915">
        <v>2647454</v>
      </c>
      <c r="D915">
        <v>28</v>
      </c>
    </row>
    <row r="916" spans="1:4" x14ac:dyDescent="0.25">
      <c r="A916" t="str">
        <f>T("   902610")</f>
        <v xml:space="preserve">   902610</v>
      </c>
      <c r="B916" t="str">
        <f>T("   Instruments et appareils pour la mesure ou le contrôle du débit ou du niveau des liquides (à l'excl. des compteurs et des instruments et appareils pour la régulation ou le contrôle automatiques)")</f>
        <v xml:space="preserve">   Instruments et appareils pour la mesure ou le contrôle du débit ou du niveau des liquides (à l'excl. des compteurs et des instruments et appareils pour la régulation ou le contrôle automatiques)</v>
      </c>
      <c r="C916">
        <v>6197295</v>
      </c>
      <c r="D916">
        <v>52</v>
      </c>
    </row>
    <row r="917" spans="1:4" x14ac:dyDescent="0.25">
      <c r="A917" t="str">
        <f>T("   902620")</f>
        <v xml:space="preserve">   902620</v>
      </c>
      <c r="B917" t="str">
        <f>T("   Instruments et appareils pour la mesure ou le contrôle de la pression des liquides ou des gaz (à l'excl. des instruments et appareils pour la régulation ou le contrôle automatiques)")</f>
        <v xml:space="preserve">   Instruments et appareils pour la mesure ou le contrôle de la pression des liquides ou des gaz (à l'excl. des instruments et appareils pour la régulation ou le contrôle automatiques)</v>
      </c>
      <c r="C917">
        <v>686134</v>
      </c>
      <c r="D917">
        <v>1</v>
      </c>
    </row>
    <row r="918" spans="1:4" x14ac:dyDescent="0.25">
      <c r="A918" t="str">
        <f>T("   902680")</f>
        <v xml:space="preserve">   902680</v>
      </c>
      <c r="B918" t="str">
        <f>T("   Instruments et appareils pour la mesure et le contrôle des caractéristiques variables des liquides ou des gaz, n.d.a.")</f>
        <v xml:space="preserve">   Instruments et appareils pour la mesure et le contrôle des caractéristiques variables des liquides ou des gaz, n.d.a.</v>
      </c>
      <c r="C918">
        <v>293214</v>
      </c>
      <c r="D918">
        <v>8</v>
      </c>
    </row>
    <row r="919" spans="1:4" x14ac:dyDescent="0.25">
      <c r="A919" t="str">
        <f>T("   902690")</f>
        <v xml:space="preserve">   902690</v>
      </c>
      <c r="B919" t="str">
        <f>T("   Parties et accessoires des instruments et appareils pour la mesure ou le contrôle du débit, du niveau, de la pression ou d'autres caractéristiques variables des liquides ou des gaz, n.d.a.")</f>
        <v xml:space="preserve">   Parties et accessoires des instruments et appareils pour la mesure ou le contrôle du débit, du niveau, de la pression ou d'autres caractéristiques variables des liquides ou des gaz, n.d.a.</v>
      </c>
      <c r="C919">
        <v>361434</v>
      </c>
      <c r="D919">
        <v>2</v>
      </c>
    </row>
    <row r="920" spans="1:4" x14ac:dyDescent="0.25">
      <c r="A920" t="str">
        <f>T("   902820")</f>
        <v xml:space="preserve">   902820</v>
      </c>
      <c r="B920" t="str">
        <f>T("   Compteurs de liquides, y.c. les compteurs pour leur étalonnage")</f>
        <v xml:space="preserve">   Compteurs de liquides, y.c. les compteurs pour leur étalonnage</v>
      </c>
      <c r="C920">
        <v>758559</v>
      </c>
      <c r="D920">
        <v>48</v>
      </c>
    </row>
    <row r="921" spans="1:4" x14ac:dyDescent="0.25">
      <c r="A921" t="str">
        <f>T("   902910")</f>
        <v xml:space="preserve">   902910</v>
      </c>
      <c r="B921" t="str">
        <f>T("   Compteurs de tours, compteurs de production, taximètres, totalisateurs de chemin parcouru, podomètres et compteurs simil. (à l'excl. des compteurs de gaz, de liquides et d'électricité)")</f>
        <v xml:space="preserve">   Compteurs de tours, compteurs de production, taximètres, totalisateurs de chemin parcouru, podomètres et compteurs simil. (à l'excl. des compteurs de gaz, de liquides et d'électricité)</v>
      </c>
      <c r="C921">
        <v>1059927</v>
      </c>
      <c r="D921">
        <v>58</v>
      </c>
    </row>
    <row r="922" spans="1:4" x14ac:dyDescent="0.25">
      <c r="A922" t="str">
        <f>T("   903039")</f>
        <v xml:space="preserve">   903039</v>
      </c>
      <c r="B922" t="str">
        <f>T("   Instruments et appareils pour la mesure ou le contrôle de la tension, de l'intensité, de la résistance ou de la puissance, sans dispositif enregistreur (à l'excl. des multimètres ainsi que des oscilloscopes et oscillographes cathodiques)")</f>
        <v xml:space="preserve">   Instruments et appareils pour la mesure ou le contrôle de la tension, de l'intensité, de la résistance ou de la puissance, sans dispositif enregistreur (à l'excl. des multimètres ainsi que des oscilloscopes et oscillographes cathodiques)</v>
      </c>
      <c r="C922">
        <v>426769</v>
      </c>
      <c r="D922">
        <v>23</v>
      </c>
    </row>
    <row r="923" spans="1:4" x14ac:dyDescent="0.25">
      <c r="A923" t="str">
        <f>T("   903220")</f>
        <v xml:space="preserve">   903220</v>
      </c>
      <c r="B923" t="str">
        <f>T("   Manostats [pressostats] (sauf les articles de robinetterie du n° 8481)")</f>
        <v xml:space="preserve">   Manostats [pressostats] (sauf les articles de robinetterie du n° 8481)</v>
      </c>
      <c r="C923">
        <v>2194842</v>
      </c>
      <c r="D923">
        <v>22</v>
      </c>
    </row>
    <row r="924" spans="1:4" x14ac:dyDescent="0.25">
      <c r="A924" t="str">
        <f>T("   903289")</f>
        <v xml:space="preserve">   903289</v>
      </c>
      <c r="B924" t="s">
        <v>508</v>
      </c>
      <c r="C924">
        <v>2827843</v>
      </c>
      <c r="D924">
        <v>45</v>
      </c>
    </row>
    <row r="925" spans="1:4" x14ac:dyDescent="0.25">
      <c r="A925" t="str">
        <f>T("   910529")</f>
        <v xml:space="preserve">   910529</v>
      </c>
      <c r="B925" t="str">
        <f>T("   Pendules et horloges murales ne fonctionnant pas électriquement")</f>
        <v xml:space="preserve">   Pendules et horloges murales ne fonctionnant pas électriquement</v>
      </c>
      <c r="C925">
        <v>50332</v>
      </c>
      <c r="D925">
        <v>104</v>
      </c>
    </row>
    <row r="926" spans="1:4" x14ac:dyDescent="0.25">
      <c r="A926" t="str">
        <f>T("   910610")</f>
        <v xml:space="preserve">   910610</v>
      </c>
      <c r="B926" t="str">
        <f>T("   HORLOGES DE POINTAGE; HORODATEURS ET HOROCOMPTEURS [01/01/1988-31/12/1994: HORLOGES DE POINTAGE; HORODATEURS ET HOROCOMPTEURS]")</f>
        <v xml:space="preserve">   HORLOGES DE POINTAGE; HORODATEURS ET HOROCOMPTEURS [01/01/1988-31/12/1994: HORLOGES DE POINTAGE; HORODATEURS ET HOROCOMPTEURS]</v>
      </c>
      <c r="C926">
        <v>1876223</v>
      </c>
      <c r="D926">
        <v>101</v>
      </c>
    </row>
    <row r="927" spans="1:4" x14ac:dyDescent="0.25">
      <c r="A927" t="str">
        <f>T("   930190")</f>
        <v xml:space="preserve">   930190</v>
      </c>
      <c r="B927" t="s">
        <v>511</v>
      </c>
      <c r="C927">
        <v>471635</v>
      </c>
      <c r="D927">
        <v>1</v>
      </c>
    </row>
    <row r="928" spans="1:4" x14ac:dyDescent="0.25">
      <c r="A928" t="str">
        <f>T("   940169")</f>
        <v xml:space="preserve">   940169</v>
      </c>
      <c r="B928" t="str">
        <f>T("   Sièges, avec bâti en bois, non rembourrés")</f>
        <v xml:space="preserve">   Sièges, avec bâti en bois, non rembourrés</v>
      </c>
      <c r="C928">
        <v>1911920</v>
      </c>
      <c r="D928">
        <v>5975</v>
      </c>
    </row>
    <row r="929" spans="1:4" x14ac:dyDescent="0.25">
      <c r="A929" t="str">
        <f>T("   940180")</f>
        <v xml:space="preserve">   940180</v>
      </c>
      <c r="B929" t="str">
        <f>T("   Sièges, n.d.a.")</f>
        <v xml:space="preserve">   Sièges, n.d.a.</v>
      </c>
      <c r="C929">
        <v>78715</v>
      </c>
      <c r="D929">
        <v>50</v>
      </c>
    </row>
    <row r="930" spans="1:4" x14ac:dyDescent="0.25">
      <c r="A930" t="str">
        <f>T("   940290")</f>
        <v xml:space="preserve">   940290</v>
      </c>
      <c r="B930" t="str">
        <f>T("   Tables d'opération, tables d'examen et autre mobilier pour la médecine, la chirurgie, l'art dentaire ou vétérinaire (sauf fauteuils de dentistes et autres sièges, tables d'examen radiographique, civières et brancards, y.c. chariots-brancards)")</f>
        <v xml:space="preserve">   Tables d'opération, tables d'examen et autre mobilier pour la médecine, la chirurgie, l'art dentaire ou vétérinaire (sauf fauteuils de dentistes et autres sièges, tables d'examen radiographique, civières et brancards, y.c. chariots-brancards)</v>
      </c>
      <c r="C930">
        <v>42321880</v>
      </c>
      <c r="D930">
        <v>10901.43</v>
      </c>
    </row>
    <row r="931" spans="1:4" x14ac:dyDescent="0.25">
      <c r="A931" t="str">
        <f>T("   940310")</f>
        <v xml:space="preserve">   940310</v>
      </c>
      <c r="B931" t="str">
        <f>T("   Meubles de bureau en métal (sauf sièges)")</f>
        <v xml:space="preserve">   Meubles de bureau en métal (sauf sièges)</v>
      </c>
      <c r="C931">
        <v>950000</v>
      </c>
      <c r="D931">
        <v>400</v>
      </c>
    </row>
    <row r="932" spans="1:4" x14ac:dyDescent="0.25">
      <c r="A932" t="str">
        <f>T("   940320")</f>
        <v xml:space="preserve">   940320</v>
      </c>
      <c r="B932"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932">
        <v>430000</v>
      </c>
      <c r="D932">
        <v>211</v>
      </c>
    </row>
    <row r="933" spans="1:4" x14ac:dyDescent="0.25">
      <c r="A933" t="str">
        <f>T("   940350")</f>
        <v xml:space="preserve">   940350</v>
      </c>
      <c r="B933" t="str">
        <f>T("   Meubles pour chambres à coucher, en bois (sauf sièges)")</f>
        <v xml:space="preserve">   Meubles pour chambres à coucher, en bois (sauf sièges)</v>
      </c>
      <c r="C933">
        <v>17779300</v>
      </c>
      <c r="D933">
        <v>8950</v>
      </c>
    </row>
    <row r="934" spans="1:4" x14ac:dyDescent="0.25">
      <c r="A934" t="str">
        <f>T("   940360")</f>
        <v xml:space="preserve">   940360</v>
      </c>
      <c r="B934" t="str">
        <f>T("   Meubles en bois (autres que pour bureaux, cuisines ou chambres à coucher et autres que sièges)")</f>
        <v xml:space="preserve">   Meubles en bois (autres que pour bureaux, cuisines ou chambres à coucher et autres que sièges)</v>
      </c>
      <c r="C934">
        <v>5930411</v>
      </c>
      <c r="D934">
        <v>3562.51</v>
      </c>
    </row>
    <row r="935" spans="1:4" x14ac:dyDescent="0.25">
      <c r="A935" t="str">
        <f>T("   940370")</f>
        <v xml:space="preserve">   940370</v>
      </c>
      <c r="B935" t="str">
        <f>T("   Meubles en matières plastiques (autres que pour la médecine, l'art dentaire et vétérinaire, la chirurgie et autres que sièges)")</f>
        <v xml:space="preserve">   Meubles en matières plastiques (autres que pour la médecine, l'art dentaire et vétérinaire, la chirurgie et autres que sièges)</v>
      </c>
      <c r="C935">
        <v>15999</v>
      </c>
      <c r="D935">
        <v>55</v>
      </c>
    </row>
    <row r="936" spans="1:4" x14ac:dyDescent="0.25">
      <c r="A936" t="str">
        <f>T("   940380")</f>
        <v xml:space="preserve">   940380</v>
      </c>
      <c r="B936" t="str">
        <f>T("   Meubles en rotin, osier, bambou ou autres matières (sauf métal, bois et matières plastiques)")</f>
        <v xml:space="preserve">   Meubles en rotin, osier, bambou ou autres matières (sauf métal, bois et matières plastiques)</v>
      </c>
      <c r="C936">
        <v>11121008</v>
      </c>
      <c r="D936">
        <v>22960</v>
      </c>
    </row>
    <row r="937" spans="1:4" x14ac:dyDescent="0.25">
      <c r="A937" t="str">
        <f>T("   940410")</f>
        <v xml:space="preserve">   940410</v>
      </c>
      <c r="B937" t="str">
        <f>T("   Sommiers (sauf ressorts pour sièges)")</f>
        <v xml:space="preserve">   Sommiers (sauf ressorts pour sièges)</v>
      </c>
      <c r="C937">
        <v>32142</v>
      </c>
      <c r="D937">
        <v>25</v>
      </c>
    </row>
    <row r="938" spans="1:4" x14ac:dyDescent="0.25">
      <c r="A938" t="str">
        <f>T("   940490")</f>
        <v xml:space="preserve">   940490</v>
      </c>
      <c r="B938" t="s">
        <v>514</v>
      </c>
      <c r="C938">
        <v>3229536</v>
      </c>
      <c r="D938">
        <v>920</v>
      </c>
    </row>
    <row r="939" spans="1:4" x14ac:dyDescent="0.25">
      <c r="A939" t="str">
        <f>T("   940510")</f>
        <v xml:space="preserve">   940510</v>
      </c>
      <c r="B939" t="str">
        <f>T("   Lustres et autres appareils d'éclairage électrique à suspendre ou à fixer au plafond ou au mur (sauf pour l'éclairage des espaces et voies publiques)")</f>
        <v xml:space="preserve">   Lustres et autres appareils d'éclairage électrique à suspendre ou à fixer au plafond ou au mur (sauf pour l'éclairage des espaces et voies publiques)</v>
      </c>
      <c r="C939">
        <v>19512841</v>
      </c>
      <c r="D939">
        <v>3113</v>
      </c>
    </row>
    <row r="940" spans="1:4" x14ac:dyDescent="0.25">
      <c r="A940" t="str">
        <f>T("   940520")</f>
        <v xml:space="preserve">   940520</v>
      </c>
      <c r="B940" t="str">
        <f>T("   Lampes de chevet, lampes de bureau et lampadaires d'intérieur, électriques")</f>
        <v xml:space="preserve">   Lampes de chevet, lampes de bureau et lampadaires d'intérieur, électriques</v>
      </c>
      <c r="C940">
        <v>15596106</v>
      </c>
      <c r="D940">
        <v>2274</v>
      </c>
    </row>
    <row r="941" spans="1:4" x14ac:dyDescent="0.25">
      <c r="A941" t="str">
        <f>T("   940540")</f>
        <v xml:space="preserve">   940540</v>
      </c>
      <c r="B941" t="str">
        <f>T("   Appareils d'éclairage électrique, n.d.a.")</f>
        <v xml:space="preserve">   Appareils d'éclairage électrique, n.d.a.</v>
      </c>
      <c r="C941">
        <v>91042054</v>
      </c>
      <c r="D941">
        <v>15253</v>
      </c>
    </row>
    <row r="942" spans="1:4" x14ac:dyDescent="0.25">
      <c r="A942" t="str">
        <f>T("   940560")</f>
        <v xml:space="preserve">   940560</v>
      </c>
      <c r="B942" t="str">
        <f>T("   Lampes-réclames, enseignes lumineuses, plaques indicatrices lumineuses et articles simil., possédant une source d'éclairage fixée à demeure")</f>
        <v xml:space="preserve">   Lampes-réclames, enseignes lumineuses, plaques indicatrices lumineuses et articles simil., possédant une source d'éclairage fixée à demeure</v>
      </c>
      <c r="C942">
        <v>3113842</v>
      </c>
      <c r="D942">
        <v>881</v>
      </c>
    </row>
    <row r="943" spans="1:4" x14ac:dyDescent="0.25">
      <c r="A943" t="str">
        <f>T("   940599")</f>
        <v xml:space="preserve">   940599</v>
      </c>
      <c r="B943" t="str">
        <f>T("   Parties d'appareils d'éclairage, de lampes-réclames, d'enseignes lumineuses, de plaques indicatrices lumineuses, et simil., n.d.a.")</f>
        <v xml:space="preserve">   Parties d'appareils d'éclairage, de lampes-réclames, d'enseignes lumineuses, de plaques indicatrices lumineuses, et simil., n.d.a.</v>
      </c>
      <c r="C943">
        <v>158866</v>
      </c>
      <c r="D943">
        <v>23</v>
      </c>
    </row>
    <row r="944" spans="1:4" x14ac:dyDescent="0.25">
      <c r="A944" t="str">
        <f>T("   950291")</f>
        <v xml:space="preserve">   950291</v>
      </c>
      <c r="B944" t="str">
        <f>T("   Vêtements et leurs accessoires, chaussures et chapeaux, pour poupées représentant uniquement l'être humain")</f>
        <v xml:space="preserve">   Vêtements et leurs accessoires, chaussures et chapeaux, pour poupées représentant uniquement l'être humain</v>
      </c>
      <c r="C944">
        <v>550000</v>
      </c>
      <c r="D944">
        <v>300</v>
      </c>
    </row>
    <row r="945" spans="1:4" x14ac:dyDescent="0.25">
      <c r="A945" t="str">
        <f>T("   950299")</f>
        <v xml:space="preserve">   950299</v>
      </c>
      <c r="B945" t="str">
        <f>T("   Parties et accessoires pour poupées représentant uniquement l'être humain, n.d.a.")</f>
        <v xml:space="preserve">   Parties et accessoires pour poupées représentant uniquement l'être humain, n.d.a.</v>
      </c>
      <c r="C945">
        <v>150000</v>
      </c>
      <c r="D945">
        <v>100</v>
      </c>
    </row>
    <row r="946" spans="1:4" x14ac:dyDescent="0.25">
      <c r="A946" t="str">
        <f>T("   950370")</f>
        <v xml:space="preserve">   950370</v>
      </c>
      <c r="B946" t="str">
        <f>T("   Jouets présentés en assortiments ou en panoplies (sauf trains électriques, y.c. accessoires, sauf modèles réduits à assembler, cubes et jeux de construction et puzzles)")</f>
        <v xml:space="preserve">   Jouets présentés en assortiments ou en panoplies (sauf trains électriques, y.c. accessoires, sauf modèles réduits à assembler, cubes et jeux de construction et puzzles)</v>
      </c>
      <c r="C946">
        <v>1201776</v>
      </c>
      <c r="D946">
        <v>200</v>
      </c>
    </row>
    <row r="947" spans="1:4" x14ac:dyDescent="0.25">
      <c r="A947" t="str">
        <f>T("   950390")</f>
        <v xml:space="preserve">   950390</v>
      </c>
      <c r="B947" t="str">
        <f>T("   Jouets, n.d.a.")</f>
        <v xml:space="preserve">   Jouets, n.d.a.</v>
      </c>
      <c r="C947">
        <v>14794446</v>
      </c>
      <c r="D947">
        <v>20741</v>
      </c>
    </row>
    <row r="948" spans="1:4" x14ac:dyDescent="0.25">
      <c r="A948" t="str">
        <f>T("   950410")</f>
        <v xml:space="preserve">   950410</v>
      </c>
      <c r="B948" t="str">
        <f>T("   Jeux vidéo des types utilisables avec un récepteur de télévision")</f>
        <v xml:space="preserve">   Jeux vidéo des types utilisables avec un récepteur de télévision</v>
      </c>
      <c r="C948">
        <v>587943</v>
      </c>
      <c r="D948">
        <v>610</v>
      </c>
    </row>
    <row r="949" spans="1:4" x14ac:dyDescent="0.25">
      <c r="A949" t="str">
        <f>T("   950430")</f>
        <v xml:space="preserve">   950430</v>
      </c>
      <c r="B949" t="s">
        <v>515</v>
      </c>
      <c r="C949">
        <v>2195494</v>
      </c>
      <c r="D949">
        <v>1550</v>
      </c>
    </row>
    <row r="950" spans="1:4" x14ac:dyDescent="0.25">
      <c r="A950" t="str">
        <f>T("   950490")</f>
        <v xml:space="preserve">   950490</v>
      </c>
      <c r="B950" t="s">
        <v>516</v>
      </c>
      <c r="C950">
        <v>2571234</v>
      </c>
      <c r="D950">
        <v>3783</v>
      </c>
    </row>
    <row r="951" spans="1:4" x14ac:dyDescent="0.25">
      <c r="A951" t="str">
        <f>T("   950590")</f>
        <v xml:space="preserve">   950590</v>
      </c>
      <c r="B951" t="str">
        <f>T("   Articles pour fêtes, carnaval ou autres divertissements, y.c. les articles de magie et articles-surprises, n.d.a.")</f>
        <v xml:space="preserve">   Articles pour fêtes, carnaval ou autres divertissements, y.c. les articles de magie et articles-surprises, n.d.a.</v>
      </c>
      <c r="C951">
        <v>1078778</v>
      </c>
      <c r="D951">
        <v>2200</v>
      </c>
    </row>
    <row r="952" spans="1:4" x14ac:dyDescent="0.25">
      <c r="A952" t="str">
        <f>T("   950691")</f>
        <v xml:space="preserve">   950691</v>
      </c>
      <c r="B952" t="str">
        <f>T("   Articles et matériel pour la culture physique, la gymnastique ou l'athlétisme")</f>
        <v xml:space="preserve">   Articles et matériel pour la culture physique, la gymnastique ou l'athlétisme</v>
      </c>
      <c r="C952">
        <v>100362</v>
      </c>
      <c r="D952">
        <v>210</v>
      </c>
    </row>
    <row r="953" spans="1:4" x14ac:dyDescent="0.25">
      <c r="A953" t="str">
        <f>T("   950699")</f>
        <v xml:space="preserve">   950699</v>
      </c>
      <c r="B953" t="str">
        <f>T("   Articles et matériel pour le sport et les jeux de plein air, n.d.a.; piscines et pataugeoires")</f>
        <v xml:space="preserve">   Articles et matériel pour le sport et les jeux de plein air, n.d.a.; piscines et pataugeoires</v>
      </c>
      <c r="C953">
        <v>8614722</v>
      </c>
      <c r="D953">
        <v>13615</v>
      </c>
    </row>
    <row r="954" spans="1:4" x14ac:dyDescent="0.25">
      <c r="A954" t="str">
        <f>T("   960321")</f>
        <v xml:space="preserve">   960321</v>
      </c>
      <c r="B954" t="str">
        <f>T("   Brosses à dent, y.c. brosses à prothèses dentaires")</f>
        <v xml:space="preserve">   Brosses à dent, y.c. brosses à prothèses dentaires</v>
      </c>
      <c r="C954">
        <v>861276</v>
      </c>
      <c r="D954">
        <v>1003</v>
      </c>
    </row>
    <row r="955" spans="1:4" x14ac:dyDescent="0.25">
      <c r="A955" t="str">
        <f>T("   960810")</f>
        <v xml:space="preserve">   960810</v>
      </c>
      <c r="B955" t="str">
        <f>T("   Stylos et crayons à bille")</f>
        <v xml:space="preserve">   Stylos et crayons à bille</v>
      </c>
      <c r="C955">
        <v>345660</v>
      </c>
      <c r="D955">
        <v>167</v>
      </c>
    </row>
    <row r="956" spans="1:4" x14ac:dyDescent="0.25">
      <c r="A956" t="str">
        <f>T("   960839")</f>
        <v xml:space="preserve">   960839</v>
      </c>
      <c r="B956" t="str">
        <f>T("   Stylos à plume et autres stylos (autres qu'à dessiner à l'encre de Chine)")</f>
        <v xml:space="preserve">   Stylos à plume et autres stylos (autres qu'à dessiner à l'encre de Chine)</v>
      </c>
      <c r="C956">
        <v>1186632</v>
      </c>
      <c r="D956">
        <v>779</v>
      </c>
    </row>
    <row r="957" spans="1:4" x14ac:dyDescent="0.25">
      <c r="A957" t="str">
        <f>T("   960990")</f>
        <v xml:space="preserve">   960990</v>
      </c>
      <c r="B957" t="str">
        <f>T("   Crayons (sauf crayons à gaine), pastels, fusains, craies à écrire ou à dessiner et craies de tailleurs")</f>
        <v xml:space="preserve">   Crayons (sauf crayons à gaine), pastels, fusains, craies à écrire ou à dessiner et craies de tailleurs</v>
      </c>
      <c r="C957">
        <v>1016489</v>
      </c>
      <c r="D957">
        <v>6282</v>
      </c>
    </row>
    <row r="958" spans="1:4" x14ac:dyDescent="0.25">
      <c r="A958" t="str">
        <f>T("   961380")</f>
        <v xml:space="preserve">   961380</v>
      </c>
      <c r="B958" t="str">
        <f>T("   Briquets et allumeurs (à l'excl. des briquets de poche à gaz, des mèches et cordeaux détonants pour poudres propulsives et explosifs)")</f>
        <v xml:space="preserve">   Briquets et allumeurs (à l'excl. des briquets de poche à gaz, des mèches et cordeaux détonants pour poudres propulsives et explosifs)</v>
      </c>
      <c r="C958">
        <v>1069871</v>
      </c>
      <c r="D958">
        <v>4976</v>
      </c>
    </row>
    <row r="959" spans="1:4" x14ac:dyDescent="0.25">
      <c r="A959" t="str">
        <f>T("BF")</f>
        <v>BF</v>
      </c>
      <c r="B959" t="str">
        <f>T("Burkina Faso")</f>
        <v>Burkina Faso</v>
      </c>
    </row>
    <row r="960" spans="1:4" x14ac:dyDescent="0.25">
      <c r="A960" t="str">
        <f>T("   ZZ_Total_Produit_SH6")</f>
        <v xml:space="preserve">   ZZ_Total_Produit_SH6</v>
      </c>
      <c r="B960" t="str">
        <f>T("   ZZ_Total_Produit_SH6")</f>
        <v xml:space="preserve">   ZZ_Total_Produit_SH6</v>
      </c>
      <c r="C960">
        <v>339937176</v>
      </c>
      <c r="D960">
        <v>1223567</v>
      </c>
    </row>
    <row r="961" spans="1:4" x14ac:dyDescent="0.25">
      <c r="A961" t="str">
        <f>T("   271011")</f>
        <v xml:space="preserve">   271011</v>
      </c>
      <c r="B961"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961">
        <v>11242527</v>
      </c>
      <c r="D961">
        <v>33597</v>
      </c>
    </row>
    <row r="962" spans="1:4" x14ac:dyDescent="0.25">
      <c r="A962" t="str">
        <f>T("   300390")</f>
        <v xml:space="preserve">   300390</v>
      </c>
      <c r="B962" t="s">
        <v>75</v>
      </c>
      <c r="C962">
        <v>28067951</v>
      </c>
      <c r="D962">
        <v>403</v>
      </c>
    </row>
    <row r="963" spans="1:4" x14ac:dyDescent="0.25">
      <c r="A963" t="str">
        <f>T("   382200")</f>
        <v xml:space="preserve">   382200</v>
      </c>
      <c r="B963" t="s">
        <v>126</v>
      </c>
      <c r="C963">
        <v>8935500</v>
      </c>
      <c r="D963">
        <v>162</v>
      </c>
    </row>
    <row r="964" spans="1:4" x14ac:dyDescent="0.25">
      <c r="A964" t="str">
        <f>T("   490700")</f>
        <v xml:space="preserve">   490700</v>
      </c>
      <c r="B964" t="s">
        <v>221</v>
      </c>
      <c r="C964">
        <v>809390</v>
      </c>
      <c r="D964">
        <v>305</v>
      </c>
    </row>
    <row r="965" spans="1:4" x14ac:dyDescent="0.25">
      <c r="A965" t="str">
        <f>T("   841430")</f>
        <v xml:space="preserve">   841430</v>
      </c>
      <c r="B965" t="str">
        <f>T("   Compresseurs des types utilisés pour équipements frigorifiques")</f>
        <v xml:space="preserve">   Compresseurs des types utilisés pour équipements frigorifiques</v>
      </c>
      <c r="C965">
        <v>2200000</v>
      </c>
      <c r="D965">
        <v>24000</v>
      </c>
    </row>
    <row r="966" spans="1:4" x14ac:dyDescent="0.25">
      <c r="A966" t="str">
        <f>T("   841590")</f>
        <v xml:space="preserve">   841590</v>
      </c>
      <c r="B966" t="str">
        <f>T("   Parties de machines et appareils pour le conditionnement de l'air comprenant un ventilateur à moteur et des dispositifs propres à modifier la température et l'humidité de l'air, n.d.a.")</f>
        <v xml:space="preserve">   Parties de machines et appareils pour le conditionnement de l'air comprenant un ventilateur à moteur et des dispositifs propres à modifier la température et l'humidité de l'air, n.d.a.</v>
      </c>
      <c r="C966">
        <v>411143</v>
      </c>
      <c r="D966">
        <v>48</v>
      </c>
    </row>
    <row r="967" spans="1:4" x14ac:dyDescent="0.25">
      <c r="A967" t="str">
        <f>T("   842649")</f>
        <v xml:space="preserve">   842649</v>
      </c>
      <c r="B967" t="str">
        <f>T("   Bigues et chariots-grues et appareils autopropulsés (autres que sur pneumatiques et sauf chariots-cavaliers)")</f>
        <v xml:space="preserve">   Bigues et chariots-grues et appareils autopropulsés (autres que sur pneumatiques et sauf chariots-cavaliers)</v>
      </c>
      <c r="C967">
        <v>4400000</v>
      </c>
      <c r="D967">
        <v>98000</v>
      </c>
    </row>
    <row r="968" spans="1:4" x14ac:dyDescent="0.25">
      <c r="A968" t="str">
        <f>T("   842911")</f>
        <v xml:space="preserve">   842911</v>
      </c>
      <c r="B968" t="str">
        <f>T("   Bouteurs 'bulldozers' et bouteurs biais 'angledozers', à chenilles")</f>
        <v xml:space="preserve">   Bouteurs 'bulldozers' et bouteurs biais 'angledozers', à chenilles</v>
      </c>
      <c r="C968">
        <v>6921250</v>
      </c>
      <c r="D968">
        <v>38438</v>
      </c>
    </row>
    <row r="969" spans="1:4" x14ac:dyDescent="0.25">
      <c r="A969" t="str">
        <f>T("   842920")</f>
        <v xml:space="preserve">   842920</v>
      </c>
      <c r="B969" t="str">
        <f>T("   Niveleuses autopropulsées")</f>
        <v xml:space="preserve">   Niveleuses autopropulsées</v>
      </c>
      <c r="C969">
        <v>13383334</v>
      </c>
      <c r="D969">
        <v>27376</v>
      </c>
    </row>
    <row r="970" spans="1:4" x14ac:dyDescent="0.25">
      <c r="A970" t="str">
        <f>T("   842940")</f>
        <v xml:space="preserve">   842940</v>
      </c>
      <c r="B970" t="str">
        <f>T("   Rouleaux compresseurs et autres compacteuses, autopropulsés")</f>
        <v xml:space="preserve">   Rouleaux compresseurs et autres compacteuses, autopropulsés</v>
      </c>
      <c r="C970">
        <v>4691556</v>
      </c>
      <c r="D970">
        <v>57629</v>
      </c>
    </row>
    <row r="971" spans="1:4" x14ac:dyDescent="0.25">
      <c r="A971" t="str">
        <f>T("   842959")</f>
        <v xml:space="preserve">   842959</v>
      </c>
      <c r="B971"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971">
        <v>18403124</v>
      </c>
      <c r="D971">
        <v>111600</v>
      </c>
    </row>
    <row r="972" spans="1:4" x14ac:dyDescent="0.25">
      <c r="A972" t="str">
        <f>T("   843069")</f>
        <v xml:space="preserve">   843069</v>
      </c>
      <c r="B972" t="str">
        <f>T("   Machines et appareils de terrassement, nivellement, décapage, excavation, compactage, extraction ou forage de la terre, des minéraux ou des minerais, non autopropulsés, n.d.a.")</f>
        <v xml:space="preserve">   Machines et appareils de terrassement, nivellement, décapage, excavation, compactage, extraction ou forage de la terre, des minéraux ou des minerais, non autopropulsés, n.d.a.</v>
      </c>
      <c r="C972">
        <v>4400000</v>
      </c>
      <c r="D972">
        <v>96000</v>
      </c>
    </row>
    <row r="973" spans="1:4" x14ac:dyDescent="0.25">
      <c r="A973" t="str">
        <f>T("   846229")</f>
        <v xml:space="preserve">   846229</v>
      </c>
      <c r="B973" t="str">
        <f>T("   Machines, y.c. -les presses-, à rouler, cintrer, plier, dresser ou planer, pour le travail des métaux (autres qu'à commande numérique)")</f>
        <v xml:space="preserve">   Machines, y.c. -les presses-, à rouler, cintrer, plier, dresser ou planer, pour le travail des métaux (autres qu'à commande numérique)</v>
      </c>
      <c r="C973">
        <v>10211949</v>
      </c>
      <c r="D973">
        <v>2600</v>
      </c>
    </row>
    <row r="974" spans="1:4" x14ac:dyDescent="0.25">
      <c r="A974" t="str">
        <f>T("   847190")</f>
        <v xml:space="preserve">   847190</v>
      </c>
      <c r="B974"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974">
        <v>5325648</v>
      </c>
      <c r="D974">
        <v>1198</v>
      </c>
    </row>
    <row r="975" spans="1:4" x14ac:dyDescent="0.25">
      <c r="A975" t="str">
        <f>T("   850710")</f>
        <v xml:space="preserve">   850710</v>
      </c>
      <c r="B975" t="str">
        <f>T("   Accumulateurs au plomb, pour le démarrage des moteurs à piston (sauf hors d'usage)")</f>
        <v xml:space="preserve">   Accumulateurs au plomb, pour le démarrage des moteurs à piston (sauf hors d'usage)</v>
      </c>
      <c r="C975">
        <v>11217614</v>
      </c>
      <c r="D975">
        <v>8626</v>
      </c>
    </row>
    <row r="976" spans="1:4" x14ac:dyDescent="0.25">
      <c r="A976" t="str">
        <f>T("   870322")</f>
        <v xml:space="preserve">   870322</v>
      </c>
      <c r="B976" t="s">
        <v>480</v>
      </c>
      <c r="C976">
        <v>7610607</v>
      </c>
      <c r="D976">
        <v>930</v>
      </c>
    </row>
    <row r="977" spans="1:4" x14ac:dyDescent="0.25">
      <c r="A977" t="str">
        <f>T("   870332")</f>
        <v xml:space="preserve">   870332</v>
      </c>
      <c r="B977" t="s">
        <v>484</v>
      </c>
      <c r="C977">
        <v>6864418</v>
      </c>
      <c r="D977">
        <v>1880</v>
      </c>
    </row>
    <row r="978" spans="1:4" x14ac:dyDescent="0.25">
      <c r="A978" t="str">
        <f>T("   870333")</f>
        <v xml:space="preserve">   870333</v>
      </c>
      <c r="B978" t="s">
        <v>485</v>
      </c>
      <c r="C978">
        <v>24729690</v>
      </c>
      <c r="D978">
        <v>8320</v>
      </c>
    </row>
    <row r="979" spans="1:4" x14ac:dyDescent="0.25">
      <c r="A979" t="str">
        <f>T("   870421")</f>
        <v xml:space="preserve">   870421</v>
      </c>
      <c r="B979" t="s">
        <v>486</v>
      </c>
      <c r="C979">
        <v>53796608</v>
      </c>
      <c r="D979">
        <v>53685</v>
      </c>
    </row>
    <row r="980" spans="1:4" x14ac:dyDescent="0.25">
      <c r="A980" t="str">
        <f>T("   870422")</f>
        <v xml:space="preserve">   870422</v>
      </c>
      <c r="B980" t="s">
        <v>487</v>
      </c>
      <c r="C980">
        <v>33139736</v>
      </c>
      <c r="D980">
        <v>33650</v>
      </c>
    </row>
    <row r="981" spans="1:4" x14ac:dyDescent="0.25">
      <c r="A981" t="str">
        <f>T("   870423")</f>
        <v xml:space="preserve">   870423</v>
      </c>
      <c r="B981" t="s">
        <v>488</v>
      </c>
      <c r="C981">
        <v>5132819</v>
      </c>
      <c r="D981">
        <v>12500</v>
      </c>
    </row>
    <row r="982" spans="1:4" x14ac:dyDescent="0.25">
      <c r="A982" t="str">
        <f>T("   870431")</f>
        <v xml:space="preserve">   870431</v>
      </c>
      <c r="B982" t="s">
        <v>489</v>
      </c>
      <c r="C982">
        <v>1200000</v>
      </c>
      <c r="D982">
        <v>1750</v>
      </c>
    </row>
    <row r="983" spans="1:4" x14ac:dyDescent="0.25">
      <c r="A983" t="str">
        <f>T("   870510")</f>
        <v xml:space="preserve">   870510</v>
      </c>
      <c r="B983" t="str">
        <f>T("   Camions-grues (sauf dépanneuses)")</f>
        <v xml:space="preserve">   Camions-grues (sauf dépanneuses)</v>
      </c>
      <c r="C983">
        <v>524768</v>
      </c>
      <c r="D983">
        <v>1600</v>
      </c>
    </row>
    <row r="984" spans="1:4" x14ac:dyDescent="0.25">
      <c r="A984" t="str">
        <f>T("   870590")</f>
        <v xml:space="preserve">   870590</v>
      </c>
      <c r="B984" t="s">
        <v>491</v>
      </c>
      <c r="C984">
        <v>46383334</v>
      </c>
      <c r="D984">
        <v>409376</v>
      </c>
    </row>
    <row r="985" spans="1:4" x14ac:dyDescent="0.25">
      <c r="A985" t="str">
        <f>T("   871120")</f>
        <v xml:space="preserve">   871120</v>
      </c>
      <c r="B985" t="str">
        <f>T("   Motocycles à moteur à piston alternatif, cylindrée &gt; 50 cm³ mais &lt;= 250 cm³")</f>
        <v xml:space="preserve">   Motocycles à moteur à piston alternatif, cylindrée &gt; 50 cm³ mais &lt;= 250 cm³</v>
      </c>
      <c r="C985">
        <v>15379945</v>
      </c>
      <c r="D985">
        <v>9000</v>
      </c>
    </row>
    <row r="986" spans="1:4" x14ac:dyDescent="0.25">
      <c r="A986" t="str">
        <f>T("   871419")</f>
        <v xml:space="preserve">   871419</v>
      </c>
      <c r="B986" t="str">
        <f>T("   Parties et accessoires de motocycles, y.c. de cyclomoteurs, n.d.a.")</f>
        <v xml:space="preserve">   Parties et accessoires de motocycles, y.c. de cyclomoteurs, n.d.a.</v>
      </c>
      <c r="C986">
        <v>2348815</v>
      </c>
      <c r="D986">
        <v>227</v>
      </c>
    </row>
    <row r="987" spans="1:4" x14ac:dyDescent="0.25">
      <c r="A987" t="str">
        <f>T("   920790")</f>
        <v xml:space="preserve">   920790</v>
      </c>
      <c r="B987" t="str">
        <f>T("   Accordéons électriques et autres instruments de musique électriques")</f>
        <v xml:space="preserve">   Accordéons électriques et autres instruments de musique électriques</v>
      </c>
      <c r="C987">
        <v>10000200</v>
      </c>
      <c r="D987">
        <v>189000</v>
      </c>
    </row>
    <row r="988" spans="1:4" x14ac:dyDescent="0.25">
      <c r="A988" t="str">
        <f>T("   930200")</f>
        <v xml:space="preserve">   930200</v>
      </c>
      <c r="B988" t="str">
        <f>T("   Revolvers et pistolets (autres que ceux du n° 9303 ou 9304 et pistolets-mitrailleurs de guerre)")</f>
        <v xml:space="preserve">   Revolvers et pistolets (autres que ceux du n° 9303 ou 9304 et pistolets-mitrailleurs de guerre)</v>
      </c>
      <c r="C988">
        <v>700000</v>
      </c>
      <c r="D988">
        <v>1</v>
      </c>
    </row>
    <row r="989" spans="1:4" x14ac:dyDescent="0.25">
      <c r="A989" t="str">
        <f>T("   930320")</f>
        <v xml:space="preserve">   930320</v>
      </c>
      <c r="B989" t="str">
        <f>T("   Fusils et carabines de chasse ou de tir sportif comportant au moins un canon lisse (autres qu'armes à feu ne pouvant être chargées que par le canon ainsi que fusils et carabines à ressort, à air comprimé ou à gaz)")</f>
        <v xml:space="preserve">   Fusils et carabines de chasse ou de tir sportif comportant au moins un canon lisse (autres qu'armes à feu ne pouvant être chargées que par le canon ainsi que fusils et carabines à ressort, à air comprimé ou à gaz)</v>
      </c>
      <c r="C989">
        <v>505250</v>
      </c>
      <c r="D989">
        <v>1</v>
      </c>
    </row>
    <row r="990" spans="1:4" x14ac:dyDescent="0.25">
      <c r="A990" t="str">
        <f>T("   940360")</f>
        <v xml:space="preserve">   940360</v>
      </c>
      <c r="B990" t="str">
        <f>T("   Meubles en bois (autres que pour bureaux, cuisines ou chambres à coucher et autres que sièges)")</f>
        <v xml:space="preserve">   Meubles en bois (autres que pour bureaux, cuisines ou chambres à coucher et autres que sièges)</v>
      </c>
      <c r="C990">
        <v>500000</v>
      </c>
      <c r="D990">
        <v>265</v>
      </c>
    </row>
    <row r="991" spans="1:4" x14ac:dyDescent="0.25">
      <c r="A991" t="str">
        <f>T("   940490")</f>
        <v xml:space="preserve">   940490</v>
      </c>
      <c r="B991" t="s">
        <v>514</v>
      </c>
      <c r="C991">
        <v>500000</v>
      </c>
      <c r="D991">
        <v>1400</v>
      </c>
    </row>
    <row r="992" spans="1:4" x14ac:dyDescent="0.25">
      <c r="A992" t="str">
        <f>T("BG")</f>
        <v>BG</v>
      </c>
      <c r="B992" t="str">
        <f>T("Bulgarie")</f>
        <v>Bulgarie</v>
      </c>
    </row>
    <row r="993" spans="1:4" x14ac:dyDescent="0.25">
      <c r="A993" t="str">
        <f>T("   ZZ_Total_Produit_SH6")</f>
        <v xml:space="preserve">   ZZ_Total_Produit_SH6</v>
      </c>
      <c r="B993" t="str">
        <f>T("   ZZ_Total_Produit_SH6")</f>
        <v xml:space="preserve">   ZZ_Total_Produit_SH6</v>
      </c>
      <c r="C993">
        <v>82014420</v>
      </c>
      <c r="D993">
        <v>215695</v>
      </c>
    </row>
    <row r="994" spans="1:4" x14ac:dyDescent="0.25">
      <c r="A994" t="str">
        <f>T("   040120")</f>
        <v xml:space="preserve">   040120</v>
      </c>
      <c r="B994" t="str">
        <f>T("   LAIT ET CRÈME DE LAIT, NON-CONCENTRÉS NI ADDITIONNÉS DE SUCRE OU D'AUTRES ÉDULCORANTS, D'UNE TENEUR EN POIDS DE MATIÈRES GRASSES &gt; 1% MAIS &lt;= 6%")</f>
        <v xml:space="preserve">   LAIT ET CRÈME DE LAIT, NON-CONCENTRÉS NI ADDITIONNÉS DE SUCRE OU D'AUTRES ÉDULCORANTS, D'UNE TENEUR EN POIDS DE MATIÈRES GRASSES &gt; 1% MAIS &lt;= 6%</v>
      </c>
      <c r="C994">
        <v>20839</v>
      </c>
      <c r="D994">
        <v>149</v>
      </c>
    </row>
    <row r="995" spans="1:4" x14ac:dyDescent="0.25">
      <c r="A995" t="str">
        <f>T("   200919")</f>
        <v xml:space="preserve">   200919</v>
      </c>
      <c r="B995" t="str">
        <f>T("   JUS D'ORANGE, NON-FERMENTÉS, SANS ADDITION D'ALCOOL, AVEC OU SANS ADDITION DE SUCRE OU D'AUTRES ÉDULCORANTS (À L'EXCL. DES JUS CONGELÉS ET DES JUS D'UNE VALEUR BRIX &lt;= 20 À 20°C)")</f>
        <v xml:space="preserve">   JUS D'ORANGE, NON-FERMENTÉS, SANS ADDITION D'ALCOOL, AVEC OU SANS ADDITION DE SUCRE OU D'AUTRES ÉDULCORANTS (À L'EXCL. DES JUS CONGELÉS ET DES JUS D'UNE VALEUR BRIX &lt;= 20 À 20°C)</v>
      </c>
      <c r="C995">
        <v>1567542</v>
      </c>
      <c r="D995">
        <v>9750</v>
      </c>
    </row>
    <row r="996" spans="1:4" x14ac:dyDescent="0.25">
      <c r="A996" t="str">
        <f>T("   200949")</f>
        <v xml:space="preserve">   200949</v>
      </c>
      <c r="B996" t="str">
        <f>T("   JUS D'ANANAS, NON-FERMENTÉS, SANS ADDITION D'ALCOOL, AVEC OU SANS ADDITION DE SUCRE OU D'AUTRES ÉDULCORANTS, D'UNE VALEUR BRIX &gt; 20 À 20°C")</f>
        <v xml:space="preserve">   JUS D'ANANAS, NON-FERMENTÉS, SANS ADDITION D'ALCOOL, AVEC OU SANS ADDITION DE SUCRE OU D'AUTRES ÉDULCORANTS, D'UNE VALEUR BRIX &gt; 20 À 20°C</v>
      </c>
      <c r="C996">
        <v>1048225</v>
      </c>
      <c r="D996">
        <v>6500</v>
      </c>
    </row>
    <row r="997" spans="1:4" x14ac:dyDescent="0.25">
      <c r="A997" t="str">
        <f>T("   200950")</f>
        <v xml:space="preserve">   200950</v>
      </c>
      <c r="B997" t="str">
        <f>T("   JUS DE TOMATE, NON-FERMENTÉS, SANS ADDITION D'ALCOOL, AVEC OU SANS ADDITION DE SUCRE OU D'AUTRES ÉDULCORANTS")</f>
        <v xml:space="preserve">   JUS DE TOMATE, NON-FERMENTÉS, SANS ADDITION D'ALCOOL, AVEC OU SANS ADDITION DE SUCRE OU D'AUTRES ÉDULCORANTS</v>
      </c>
      <c r="C997">
        <v>281406</v>
      </c>
      <c r="D997">
        <v>1755</v>
      </c>
    </row>
    <row r="998" spans="1:4" x14ac:dyDescent="0.25">
      <c r="A998" t="str">
        <f>T("   200979")</f>
        <v xml:space="preserve">   200979</v>
      </c>
      <c r="B998" t="str">
        <f>T("   JUS DE POMME, NON-FERMENTÉS, SANS ADDITION D'ALCOOL, AVEC OU SANS ADDITION DE SUCRE OU D'AUTRES ÉDULCORANTS, D'UNE VALEUR BRIX &gt; 20 À 20°C")</f>
        <v xml:space="preserve">   JUS DE POMME, NON-FERMENTÉS, SANS ADDITION D'ALCOOL, AVEC OU SANS ADDITION DE SUCRE OU D'AUTRES ÉDULCORANTS, D'UNE VALEUR BRIX &gt; 20 À 20°C</v>
      </c>
      <c r="C998">
        <v>1463678</v>
      </c>
      <c r="D998">
        <v>9100</v>
      </c>
    </row>
    <row r="999" spans="1:4" x14ac:dyDescent="0.25">
      <c r="A999" t="str">
        <f>T("   200980")</f>
        <v xml:space="preserve">   200980</v>
      </c>
      <c r="B999"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999">
        <v>1864350</v>
      </c>
      <c r="D999">
        <v>10270</v>
      </c>
    </row>
    <row r="1000" spans="1:4" x14ac:dyDescent="0.25">
      <c r="A1000" t="str">
        <f>T("   200990")</f>
        <v xml:space="preserve">   200990</v>
      </c>
      <c r="B1000"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1000">
        <v>843355</v>
      </c>
      <c r="D1000">
        <v>4771</v>
      </c>
    </row>
    <row r="1001" spans="1:4" x14ac:dyDescent="0.25">
      <c r="A1001" t="str">
        <f>T("   220210")</f>
        <v xml:space="preserve">   220210</v>
      </c>
      <c r="B1001"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1001">
        <v>1972610</v>
      </c>
      <c r="D1001">
        <v>15905</v>
      </c>
    </row>
    <row r="1002" spans="1:4" x14ac:dyDescent="0.25">
      <c r="A1002" t="str">
        <f>T("   220290")</f>
        <v xml:space="preserve">   220290</v>
      </c>
      <c r="B1002" t="str">
        <f>T("   BOISSONS NON-ALCOOLIQUES (À L'EXCL. DES EAUX, DES JUS DE FRUITS OU DE LÉGUMES AINSI QUE DU LAIT)")</f>
        <v xml:space="preserve">   BOISSONS NON-ALCOOLIQUES (À L'EXCL. DES EAUX, DES JUS DE FRUITS OU DE LÉGUMES AINSI QUE DU LAIT)</v>
      </c>
      <c r="C1002">
        <v>3471505</v>
      </c>
      <c r="D1002">
        <v>19279</v>
      </c>
    </row>
    <row r="1003" spans="1:4" x14ac:dyDescent="0.25">
      <c r="A1003" t="str">
        <f>T("   220410")</f>
        <v xml:space="preserve">   220410</v>
      </c>
      <c r="B1003" t="str">
        <f>T("   Vins mousseux produits à partir de raisins frais")</f>
        <v xml:space="preserve">   Vins mousseux produits à partir de raisins frais</v>
      </c>
      <c r="C1003">
        <v>4708913</v>
      </c>
      <c r="D1003">
        <v>10803</v>
      </c>
    </row>
    <row r="1004" spans="1:4" x14ac:dyDescent="0.25">
      <c r="A1004" t="str">
        <f>T("   220421")</f>
        <v xml:space="preserve">   220421</v>
      </c>
      <c r="B1004" t="str">
        <f>T("   Vins de raisins frais, y.c. les vins enrichis en alcool (à l'excl. des vins mousseux); moûts de raisins dont la fermentation a été empêchée ou arrêtée par addition d'alcool, en récipients d'une contenance &lt;= 2 l")</f>
        <v xml:space="preserve">   Vins de raisins frais, y.c. les vins enrichis en alcool (à l'excl. des vins mousseux); moûts de raisins dont la fermentation a été empêchée ou arrêtée par addition d'alcool, en récipients d'une contenance &lt;= 2 l</v>
      </c>
      <c r="C1004">
        <v>9545044</v>
      </c>
      <c r="D1004">
        <v>28316</v>
      </c>
    </row>
    <row r="1005" spans="1:4" x14ac:dyDescent="0.25">
      <c r="A1005" t="str">
        <f>T("   220429")</f>
        <v xml:space="preserve">   220429</v>
      </c>
      <c r="B1005" t="str">
        <f>T("   VINS DE RAISINS FRAIS, Y.C. LES VINS ENRICHIS EN ALCOOL, ET MOÛTS DE RAISINS DONT LA FERMENTATION A ÉTÉ EMPÊCHÉE OU ARRÊTÉE PAR ADDITION D'ALCOOL, EN RÉCIPIENTS D'UNE CONTENANCE &gt; 2 L (À L'EXCL. DES VINS MOUSSEUX)")</f>
        <v xml:space="preserve">   VINS DE RAISINS FRAIS, Y.C. LES VINS ENRICHIS EN ALCOOL, ET MOÛTS DE RAISINS DONT LA FERMENTATION A ÉTÉ EMPÊCHÉE OU ARRÊTÉE PAR ADDITION D'ALCOOL, EN RÉCIPIENTS D'UNE CONTENANCE &gt; 2 L (À L'EXCL. DES VINS MOUSSEUX)</v>
      </c>
      <c r="C1005">
        <v>1652547</v>
      </c>
      <c r="D1005">
        <v>3401</v>
      </c>
    </row>
    <row r="1006" spans="1:4" x14ac:dyDescent="0.25">
      <c r="A1006" t="str">
        <f>T("   220850")</f>
        <v xml:space="preserve">   220850</v>
      </c>
      <c r="B1006" t="str">
        <f>T("   Gin et genièvre")</f>
        <v xml:space="preserve">   Gin et genièvre</v>
      </c>
      <c r="C1006">
        <v>84198</v>
      </c>
      <c r="D1006">
        <v>252</v>
      </c>
    </row>
    <row r="1007" spans="1:4" x14ac:dyDescent="0.25">
      <c r="A1007" t="str">
        <f>T("   271011")</f>
        <v xml:space="preserve">   271011</v>
      </c>
      <c r="B1007"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1007">
        <v>1493538</v>
      </c>
      <c r="D1007">
        <v>3797</v>
      </c>
    </row>
    <row r="1008" spans="1:4" x14ac:dyDescent="0.25">
      <c r="A1008" t="str">
        <f>T("   271019")</f>
        <v xml:space="preserve">   271019</v>
      </c>
      <c r="B1008" t="str">
        <f>T("   Huiles moyennes et préparations, de pétrole ou de minéraux bitumineux, n.d.a.")</f>
        <v xml:space="preserve">   Huiles moyennes et préparations, de pétrole ou de minéraux bitumineux, n.d.a.</v>
      </c>
      <c r="C1008">
        <v>16136917</v>
      </c>
      <c r="D1008">
        <v>43162</v>
      </c>
    </row>
    <row r="1009" spans="1:4" x14ac:dyDescent="0.25">
      <c r="A1009" t="str">
        <f>T("   300660")</f>
        <v xml:space="preserve">   300660</v>
      </c>
      <c r="B1009" t="str">
        <f>T("   Préparations chimiques contraceptives à base d'hormones, de prostaglandines, de thromboxanes, de leucotriènes, de leurs dérivés et analogues structurels ou de spermicides")</f>
        <v xml:space="preserve">   Préparations chimiques contraceptives à base d'hormones, de prostaglandines, de thromboxanes, de leucotriènes, de leurs dérivés et analogues structurels ou de spermicides</v>
      </c>
      <c r="C1009">
        <v>13855556</v>
      </c>
      <c r="D1009">
        <v>232</v>
      </c>
    </row>
    <row r="1010" spans="1:4" x14ac:dyDescent="0.25">
      <c r="A1010" t="str">
        <f>T("   481930")</f>
        <v xml:space="preserve">   481930</v>
      </c>
      <c r="B1010" t="str">
        <f>T("   Sacs, en papier, carton, ouate de cellulose ou nappes de fibres de cellulose, d'une largeur à la base &gt;= 40 cm")</f>
        <v xml:space="preserve">   Sacs, en papier, carton, ouate de cellulose ou nappes de fibres de cellulose, d'une largeur à la base &gt;= 40 cm</v>
      </c>
      <c r="C1010">
        <v>735</v>
      </c>
      <c r="D1010">
        <v>5</v>
      </c>
    </row>
    <row r="1011" spans="1:4" x14ac:dyDescent="0.25">
      <c r="A1011" t="str">
        <f>T("   491110")</f>
        <v xml:space="preserve">   491110</v>
      </c>
      <c r="B1011" t="str">
        <f>T("   Imprimés publicitaires, catalogues commerciaux et simil.")</f>
        <v xml:space="preserve">   Imprimés publicitaires, catalogues commerciaux et simil.</v>
      </c>
      <c r="C1011">
        <v>1490</v>
      </c>
      <c r="D1011">
        <v>4</v>
      </c>
    </row>
    <row r="1012" spans="1:4" x14ac:dyDescent="0.25">
      <c r="A1012" t="str">
        <f>T("   610910")</f>
        <v xml:space="preserve">   610910</v>
      </c>
      <c r="B1012" t="str">
        <f>T("   T-shirts et maillots de corps, en bonneterie, de coton,")</f>
        <v xml:space="preserve">   T-shirts et maillots de corps, en bonneterie, de coton,</v>
      </c>
      <c r="C1012">
        <v>85124</v>
      </c>
      <c r="D1012">
        <v>40</v>
      </c>
    </row>
    <row r="1013" spans="1:4" x14ac:dyDescent="0.25">
      <c r="A1013" t="str">
        <f>T("   630900")</f>
        <v xml:space="preserve">   630900</v>
      </c>
      <c r="B1013" t="s">
        <v>278</v>
      </c>
      <c r="C1013">
        <v>21311486</v>
      </c>
      <c r="D1013">
        <v>44000</v>
      </c>
    </row>
    <row r="1014" spans="1:4" x14ac:dyDescent="0.25">
      <c r="A1014" t="str">
        <f>T("   650590")</f>
        <v xml:space="preserve">   650590</v>
      </c>
      <c r="B1014" t="s">
        <v>290</v>
      </c>
      <c r="C1014">
        <v>100362</v>
      </c>
      <c r="D1014">
        <v>4</v>
      </c>
    </row>
    <row r="1015" spans="1:4" x14ac:dyDescent="0.25">
      <c r="A1015" t="str">
        <f>T("   940180")</f>
        <v xml:space="preserve">   940180</v>
      </c>
      <c r="B1015" t="str">
        <f>T("   Sièges, n.d.a.")</f>
        <v xml:space="preserve">   Sièges, n.d.a.</v>
      </c>
      <c r="C1015">
        <v>315000</v>
      </c>
      <c r="D1015">
        <v>2000</v>
      </c>
    </row>
    <row r="1016" spans="1:4" x14ac:dyDescent="0.25">
      <c r="A1016" t="str">
        <f>T("   940370")</f>
        <v xml:space="preserve">   940370</v>
      </c>
      <c r="B1016" t="str">
        <f>T("   Meubles en matières plastiques (autres que pour la médecine, l'art dentaire et vétérinaire, la chirurgie et autres que sièges)")</f>
        <v xml:space="preserve">   Meubles en matières plastiques (autres que pour la médecine, l'art dentaire et vétérinaire, la chirurgie et autres que sièges)</v>
      </c>
      <c r="C1016">
        <v>25000</v>
      </c>
      <c r="D1016">
        <v>200</v>
      </c>
    </row>
    <row r="1017" spans="1:4" x14ac:dyDescent="0.25">
      <c r="A1017" t="str">
        <f>T("   961700")</f>
        <v xml:space="preserve">   961700</v>
      </c>
      <c r="B1017" t="str">
        <f>T("   Bouteilles isolantes et autres récipients isothermiques montés, dont l'isolation est assurée par le vide, ainsi que leurs parties (à l'excl. des ampoules en verre)")</f>
        <v xml:space="preserve">   Bouteilles isolantes et autres récipients isothermiques montés, dont l'isolation est assurée par le vide, ainsi que leurs parties (à l'excl. des ampoules en verre)</v>
      </c>
      <c r="C1017">
        <v>165000</v>
      </c>
      <c r="D1017">
        <v>2000</v>
      </c>
    </row>
    <row r="1018" spans="1:4" x14ac:dyDescent="0.25">
      <c r="A1018" t="str">
        <f>T("BM")</f>
        <v>BM</v>
      </c>
      <c r="B1018" t="str">
        <f>T("Bermudes")</f>
        <v>Bermudes</v>
      </c>
    </row>
    <row r="1019" spans="1:4" x14ac:dyDescent="0.25">
      <c r="A1019" t="str">
        <f>T("   ZZ_Total_Produit_SH6")</f>
        <v xml:space="preserve">   ZZ_Total_Produit_SH6</v>
      </c>
      <c r="B1019" t="str">
        <f>T("   ZZ_Total_Produit_SH6")</f>
        <v xml:space="preserve">   ZZ_Total_Produit_SH6</v>
      </c>
      <c r="C1019">
        <v>2111364</v>
      </c>
      <c r="D1019">
        <v>709</v>
      </c>
    </row>
    <row r="1020" spans="1:4" x14ac:dyDescent="0.25">
      <c r="A1020" t="str">
        <f>T("   844359")</f>
        <v xml:space="preserve">   844359</v>
      </c>
      <c r="B1020" t="s">
        <v>424</v>
      </c>
      <c r="C1020">
        <v>2111364</v>
      </c>
      <c r="D1020">
        <v>709</v>
      </c>
    </row>
    <row r="1021" spans="1:4" x14ac:dyDescent="0.25">
      <c r="A1021" t="str">
        <f>T("BN")</f>
        <v>BN</v>
      </c>
      <c r="B1021" t="str">
        <f>T("Brunei Darussalam")</f>
        <v>Brunei Darussalam</v>
      </c>
    </row>
    <row r="1022" spans="1:4" x14ac:dyDescent="0.25">
      <c r="A1022" t="str">
        <f>T("   ZZ_Total_Produit_SH6")</f>
        <v xml:space="preserve">   ZZ_Total_Produit_SH6</v>
      </c>
      <c r="B1022" t="str">
        <f>T("   ZZ_Total_Produit_SH6")</f>
        <v xml:space="preserve">   ZZ_Total_Produit_SH6</v>
      </c>
      <c r="C1022">
        <v>3184174</v>
      </c>
      <c r="D1022">
        <v>64</v>
      </c>
    </row>
    <row r="1023" spans="1:4" x14ac:dyDescent="0.25">
      <c r="A1023" t="str">
        <f>T("   382200")</f>
        <v xml:space="preserve">   382200</v>
      </c>
      <c r="B1023" t="s">
        <v>126</v>
      </c>
      <c r="C1023">
        <v>3184174</v>
      </c>
      <c r="D1023">
        <v>64</v>
      </c>
    </row>
    <row r="1024" spans="1:4" x14ac:dyDescent="0.25">
      <c r="A1024" t="str">
        <f>T("BO")</f>
        <v>BO</v>
      </c>
      <c r="B1024" t="str">
        <f>T("Bolivie")</f>
        <v>Bolivie</v>
      </c>
    </row>
    <row r="1025" spans="1:4" x14ac:dyDescent="0.25">
      <c r="A1025" t="str">
        <f>T("   ZZ_Total_Produit_SH6")</f>
        <v xml:space="preserve">   ZZ_Total_Produit_SH6</v>
      </c>
      <c r="B1025" t="str">
        <f>T("   ZZ_Total_Produit_SH6")</f>
        <v xml:space="preserve">   ZZ_Total_Produit_SH6</v>
      </c>
      <c r="C1025">
        <v>11506328</v>
      </c>
      <c r="D1025">
        <v>80513</v>
      </c>
    </row>
    <row r="1026" spans="1:4" x14ac:dyDescent="0.25">
      <c r="A1026" t="str">
        <f>T("   252329")</f>
        <v xml:space="preserve">   252329</v>
      </c>
      <c r="B1026" t="str">
        <f>T("   Ciment Portland normal ou modéré (à l'excl. des ciments Portland blancs, même colorés artificiellement)")</f>
        <v xml:space="preserve">   Ciment Portland normal ou modéré (à l'excl. des ciments Portland blancs, même colorés artificiellement)</v>
      </c>
      <c r="C1026">
        <v>575220</v>
      </c>
      <c r="D1026">
        <v>6000</v>
      </c>
    </row>
    <row r="1027" spans="1:4" x14ac:dyDescent="0.25">
      <c r="A1027" t="str">
        <f>T("   440890")</f>
        <v xml:space="preserve">   440890</v>
      </c>
      <c r="B1027" t="s">
        <v>172</v>
      </c>
      <c r="C1027">
        <v>875303</v>
      </c>
      <c r="D1027">
        <v>19983</v>
      </c>
    </row>
    <row r="1028" spans="1:4" x14ac:dyDescent="0.25">
      <c r="A1028" t="str">
        <f>T("   690890")</f>
        <v xml:space="preserve">   690890</v>
      </c>
      <c r="B1028" t="s">
        <v>311</v>
      </c>
      <c r="C1028">
        <v>10055805</v>
      </c>
      <c r="D1028">
        <v>54530</v>
      </c>
    </row>
    <row r="1029" spans="1:4" x14ac:dyDescent="0.25">
      <c r="A1029" t="str">
        <f>T("BR")</f>
        <v>BR</v>
      </c>
      <c r="B1029" t="str">
        <f>T("Brésil")</f>
        <v>Brésil</v>
      </c>
    </row>
    <row r="1030" spans="1:4" x14ac:dyDescent="0.25">
      <c r="A1030" t="str">
        <f>T("   ZZ_Total_Produit_SH6")</f>
        <v xml:space="preserve">   ZZ_Total_Produit_SH6</v>
      </c>
      <c r="B1030" t="str">
        <f>T("   ZZ_Total_Produit_SH6")</f>
        <v xml:space="preserve">   ZZ_Total_Produit_SH6</v>
      </c>
      <c r="C1030">
        <v>19249352985.273998</v>
      </c>
      <c r="D1030">
        <v>53215983.979999997</v>
      </c>
    </row>
    <row r="1031" spans="1:4" x14ac:dyDescent="0.25">
      <c r="A1031" t="str">
        <f>T("   020711")</f>
        <v xml:space="preserve">   020711</v>
      </c>
      <c r="B1031" t="str">
        <f>T("   COQS ET POULES [DES ESPÈCES DOMESTIQUES], NON-DÉCOUPÉS EN MORCEAUX, FRAIS OU RÉFRIGÉRÉS")</f>
        <v xml:space="preserve">   COQS ET POULES [DES ESPÈCES DOMESTIQUES], NON-DÉCOUPÉS EN MORCEAUX, FRAIS OU RÉFRIGÉRÉS</v>
      </c>
      <c r="C1031">
        <v>68974192</v>
      </c>
      <c r="D1031">
        <v>114207</v>
      </c>
    </row>
    <row r="1032" spans="1:4" x14ac:dyDescent="0.25">
      <c r="A1032" t="str">
        <f>T("   020712")</f>
        <v xml:space="preserve">   020712</v>
      </c>
      <c r="B1032" t="str">
        <f>T("   COQS ET POULES [DES ESPÈCES DOMESTIQUES], NON-DÉCOUPÉS EN MORCEAUX, CONGELÉS")</f>
        <v xml:space="preserve">   COQS ET POULES [DES ESPÈCES DOMESTIQUES], NON-DÉCOUPÉS EN MORCEAUX, CONGELÉS</v>
      </c>
      <c r="C1032">
        <v>186010490</v>
      </c>
      <c r="D1032">
        <v>316762</v>
      </c>
    </row>
    <row r="1033" spans="1:4" x14ac:dyDescent="0.25">
      <c r="A1033" t="str">
        <f>T("   020713")</f>
        <v xml:space="preserve">   020713</v>
      </c>
      <c r="B1033" t="str">
        <f>T("   Morceaux et abats comestibles de coqs et de poules [des espèces domestiques], frais ou réfrigérés")</f>
        <v xml:space="preserve">   Morceaux et abats comestibles de coqs et de poules [des espèces domestiques], frais ou réfrigérés</v>
      </c>
      <c r="C1033">
        <v>21494498</v>
      </c>
      <c r="D1033">
        <v>35215</v>
      </c>
    </row>
    <row r="1034" spans="1:4" x14ac:dyDescent="0.25">
      <c r="A1034" t="str">
        <f>T("   020714")</f>
        <v xml:space="preserve">   020714</v>
      </c>
      <c r="B1034" t="str">
        <f>T("   Morceaux et abats comestibles de coqs et de poules [des espèces domestiques], congelés")</f>
        <v xml:space="preserve">   Morceaux et abats comestibles de coqs et de poules [des espèces domestiques], congelés</v>
      </c>
      <c r="C1034">
        <v>4974477743</v>
      </c>
      <c r="D1034">
        <v>8516584</v>
      </c>
    </row>
    <row r="1035" spans="1:4" x14ac:dyDescent="0.25">
      <c r="A1035" t="str">
        <f>T("   020724")</f>
        <v xml:space="preserve">   020724</v>
      </c>
      <c r="B1035" t="str">
        <f>T("   DINDES ET DINDONS [DES ESPÈCES DOMESTIQUES], NON-DÉCOUPÉES EN MORCEAUX, FRAIS OU RÉFRIGÉRÉS")</f>
        <v xml:space="preserve">   DINDES ET DINDONS [DES ESPÈCES DOMESTIQUES], NON-DÉCOUPÉES EN MORCEAUX, FRAIS OU RÉFRIGÉRÉS</v>
      </c>
      <c r="C1035">
        <v>302398</v>
      </c>
      <c r="D1035">
        <v>504</v>
      </c>
    </row>
    <row r="1036" spans="1:4" x14ac:dyDescent="0.25">
      <c r="A1036" t="str">
        <f>T("   020725")</f>
        <v xml:space="preserve">   020725</v>
      </c>
      <c r="B1036" t="str">
        <f>T("   DINDES ET DINDONS [DES ESPÈCES DOMESTIQUES], NON-DÉCOUPÉS EN MORCEAUX, CONGELÉS")</f>
        <v xml:space="preserve">   DINDES ET DINDONS [DES ESPÈCES DOMESTIQUES], NON-DÉCOUPÉS EN MORCEAUX, CONGELÉS</v>
      </c>
      <c r="C1036">
        <v>1577583</v>
      </c>
      <c r="D1036">
        <v>2606</v>
      </c>
    </row>
    <row r="1037" spans="1:4" x14ac:dyDescent="0.25">
      <c r="A1037" t="str">
        <f>T("   020727")</f>
        <v xml:space="preserve">   020727</v>
      </c>
      <c r="B1037" t="str">
        <f>T("   Morceaux et abats comestibles de dindes et dindons [des espèces domestiques], congelés")</f>
        <v xml:space="preserve">   Morceaux et abats comestibles de dindes et dindons [des espèces domestiques], congelés</v>
      </c>
      <c r="C1037">
        <v>5236495628</v>
      </c>
      <c r="D1037">
        <v>8609060</v>
      </c>
    </row>
    <row r="1038" spans="1:4" x14ac:dyDescent="0.25">
      <c r="A1038" t="str">
        <f>T("   020733")</f>
        <v xml:space="preserve">   020733</v>
      </c>
      <c r="B1038" t="str">
        <f>T("   CANARDS, OIES OU PINTADES [DES ESPÈCES DOMESTIQUES], NON-DÉCOUPÉS EN MORCEAUX, CONGELÉS")</f>
        <v xml:space="preserve">   CANARDS, OIES OU PINTADES [DES ESPÈCES DOMESTIQUES], NON-DÉCOUPÉS EN MORCEAUX, CONGELÉS</v>
      </c>
      <c r="C1038">
        <v>302398</v>
      </c>
      <c r="D1038">
        <v>504</v>
      </c>
    </row>
    <row r="1039" spans="1:4" x14ac:dyDescent="0.25">
      <c r="A1039" t="str">
        <f>T("   020736")</f>
        <v xml:space="preserve">   020736</v>
      </c>
      <c r="B1039" t="str">
        <f>T("   Morceaux et abats comestibles de canards, d'oies ou de pintades [des espèces domestiques], congelés (à l'excl. des foies gras)")</f>
        <v xml:space="preserve">   Morceaux et abats comestibles de canards, d'oies ou de pintades [des espèces domestiques], congelés (à l'excl. des foies gras)</v>
      </c>
      <c r="C1039">
        <v>33454</v>
      </c>
      <c r="D1039">
        <v>56</v>
      </c>
    </row>
    <row r="1040" spans="1:4" x14ac:dyDescent="0.25">
      <c r="A1040" t="str">
        <f>T("   021099")</f>
        <v xml:space="preserve">   021099</v>
      </c>
      <c r="B1040" t="s">
        <v>14</v>
      </c>
      <c r="C1040">
        <v>5178149</v>
      </c>
      <c r="D1040">
        <v>8533</v>
      </c>
    </row>
    <row r="1041" spans="1:4" x14ac:dyDescent="0.25">
      <c r="A1041" t="str">
        <f>T("   030379")</f>
        <v xml:space="preserve">   030379</v>
      </c>
      <c r="B1041" t="s">
        <v>17</v>
      </c>
      <c r="C1041">
        <v>9807914</v>
      </c>
      <c r="D1041">
        <v>56000</v>
      </c>
    </row>
    <row r="1042" spans="1:4" x14ac:dyDescent="0.25">
      <c r="A1042" t="str">
        <f>T("   040510")</f>
        <v xml:space="preserve">   040510</v>
      </c>
      <c r="B1042" t="str">
        <f>T("   Beurre (sauf beurre déshydraté et ghee)")</f>
        <v xml:space="preserve">   Beurre (sauf beurre déshydraté et ghee)</v>
      </c>
      <c r="C1042">
        <v>2405405</v>
      </c>
      <c r="D1042">
        <v>2004</v>
      </c>
    </row>
    <row r="1043" spans="1:4" x14ac:dyDescent="0.25">
      <c r="A1043" t="str">
        <f>T("   071010")</f>
        <v xml:space="preserve">   071010</v>
      </c>
      <c r="B1043" t="str">
        <f>T("   Pommes de terre, non cuites ou cuites à l'eau ou à la vapeur, congelées")</f>
        <v xml:space="preserve">   Pommes de terre, non cuites ou cuites à l'eau ou à la vapeur, congelées</v>
      </c>
      <c r="C1043">
        <v>802239</v>
      </c>
      <c r="D1043">
        <v>1630</v>
      </c>
    </row>
    <row r="1044" spans="1:4" x14ac:dyDescent="0.25">
      <c r="A1044" t="str">
        <f>T("   080810")</f>
        <v xml:space="preserve">   080810</v>
      </c>
      <c r="B1044" t="str">
        <f>T("   Pommes, fraîches")</f>
        <v xml:space="preserve">   Pommes, fraîches</v>
      </c>
      <c r="C1044">
        <v>7000428</v>
      </c>
      <c r="D1044">
        <v>23736</v>
      </c>
    </row>
    <row r="1045" spans="1:4" x14ac:dyDescent="0.25">
      <c r="A1045" t="str">
        <f>T("   100630")</f>
        <v xml:space="preserve">   100630</v>
      </c>
      <c r="B1045" t="str">
        <f>T("   Riz semi-blanchi ou blanchi, même poli ou glacé")</f>
        <v xml:space="preserve">   Riz semi-blanchi ou blanchi, même poli ou glacé</v>
      </c>
      <c r="C1045">
        <v>4189722290.8520002</v>
      </c>
      <c r="D1045">
        <v>16867400</v>
      </c>
    </row>
    <row r="1046" spans="1:4" x14ac:dyDescent="0.25">
      <c r="A1046" t="str">
        <f>T("   100640")</f>
        <v xml:space="preserve">   100640</v>
      </c>
      <c r="B1046" t="str">
        <f>T("   Riz en brisures")</f>
        <v xml:space="preserve">   Riz en brisures</v>
      </c>
      <c r="C1046">
        <v>362139918.22500002</v>
      </c>
      <c r="D1046">
        <v>1408206</v>
      </c>
    </row>
    <row r="1047" spans="1:4" x14ac:dyDescent="0.25">
      <c r="A1047" t="str">
        <f>T("   110100")</f>
        <v xml:space="preserve">   110100</v>
      </c>
      <c r="B1047" t="str">
        <f>T("   Farines de froment [blé] ou de méteil")</f>
        <v xml:space="preserve">   Farines de froment [blé] ou de méteil</v>
      </c>
      <c r="C1047">
        <v>97263816.552000001</v>
      </c>
      <c r="D1047">
        <v>337500</v>
      </c>
    </row>
    <row r="1048" spans="1:4" x14ac:dyDescent="0.25">
      <c r="A1048" t="str">
        <f>T("   150790")</f>
        <v xml:space="preserve">   150790</v>
      </c>
      <c r="B1048" t="str">
        <f>T("   Huile de soja et ses fractions, même raffinées, mais non chimiquement modifiées (à l'excl. de l'huile de soja brute)")</f>
        <v xml:space="preserve">   Huile de soja et ses fractions, même raffinées, mais non chimiquement modifiées (à l'excl. de l'huile de soja brute)</v>
      </c>
      <c r="C1048">
        <v>4400433</v>
      </c>
      <c r="D1048">
        <v>7820</v>
      </c>
    </row>
    <row r="1049" spans="1:4" x14ac:dyDescent="0.25">
      <c r="A1049" t="str">
        <f>T("   151190")</f>
        <v xml:space="preserve">   151190</v>
      </c>
      <c r="B1049" t="str">
        <f>T("   Huile de palme et ses fractions, même raffinées, mais non chimiquement modifiées (à l'excl. de l'huile de palme brute)")</f>
        <v xml:space="preserve">   Huile de palme et ses fractions, même raffinées, mais non chimiquement modifiées (à l'excl. de l'huile de palme brute)</v>
      </c>
      <c r="C1049">
        <v>41730208.420999996</v>
      </c>
      <c r="D1049">
        <v>138670</v>
      </c>
    </row>
    <row r="1050" spans="1:4" x14ac:dyDescent="0.25">
      <c r="A1050" t="str">
        <f>T("   160100")</f>
        <v xml:space="preserve">   160100</v>
      </c>
      <c r="B1050" t="str">
        <f>T("   Saucisses, saucissons et produits simil., de viande, d'abats ou de sang; préparations alimentaires à base de ces produits")</f>
        <v xml:space="preserve">   Saucisses, saucissons et produits simil., de viande, d'abats ou de sang; préparations alimentaires à base de ces produits</v>
      </c>
      <c r="C1050">
        <v>167861110</v>
      </c>
      <c r="D1050">
        <v>285239.92</v>
      </c>
    </row>
    <row r="1051" spans="1:4" x14ac:dyDescent="0.25">
      <c r="A1051" t="str">
        <f>T("   160232")</f>
        <v xml:space="preserve">   160232</v>
      </c>
      <c r="B1051" t="s">
        <v>39</v>
      </c>
      <c r="C1051">
        <v>179775502</v>
      </c>
      <c r="D1051">
        <v>299482</v>
      </c>
    </row>
    <row r="1052" spans="1:4" x14ac:dyDescent="0.25">
      <c r="A1052" t="str">
        <f>T("   170191")</f>
        <v xml:space="preserve">   170191</v>
      </c>
      <c r="B1052" t="str">
        <f>T("   Sucres de canne ou de betterave, à l'état solide, additionnés d'aromatisants ou de colorants")</f>
        <v xml:space="preserve">   Sucres de canne ou de betterave, à l'état solide, additionnés d'aromatisants ou de colorants</v>
      </c>
      <c r="C1052">
        <v>1488158765.2709999</v>
      </c>
      <c r="D1052">
        <v>6815040</v>
      </c>
    </row>
    <row r="1053" spans="1:4" x14ac:dyDescent="0.25">
      <c r="A1053" t="str">
        <f>T("   170199")</f>
        <v xml:space="preserve">   170199</v>
      </c>
      <c r="B1053"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1053">
        <v>1787190206.9530001</v>
      </c>
      <c r="D1053">
        <v>8225919</v>
      </c>
    </row>
    <row r="1054" spans="1:4" x14ac:dyDescent="0.25">
      <c r="A1054" t="str">
        <f>T("   170490")</f>
        <v xml:space="preserve">   170490</v>
      </c>
      <c r="B1054" t="str">
        <f>T("   Sucreries sans cacao, y.c. le chocolat blanc (à l'excl. des gommes à mâcher)")</f>
        <v xml:space="preserve">   Sucreries sans cacao, y.c. le chocolat blanc (à l'excl. des gommes à mâcher)</v>
      </c>
      <c r="C1054">
        <v>24128480</v>
      </c>
      <c r="D1054">
        <v>43804</v>
      </c>
    </row>
    <row r="1055" spans="1:4" x14ac:dyDescent="0.25">
      <c r="A1055" t="str">
        <f>T("   190531")</f>
        <v xml:space="preserve">   190531</v>
      </c>
      <c r="B1055" t="str">
        <f>T("   Biscuits additionnés d'édulcorants")</f>
        <v xml:space="preserve">   Biscuits additionnés d'édulcorants</v>
      </c>
      <c r="C1055">
        <v>9235151</v>
      </c>
      <c r="D1055">
        <v>9742</v>
      </c>
    </row>
    <row r="1056" spans="1:4" x14ac:dyDescent="0.25">
      <c r="A1056" t="str">
        <f>T("   200290")</f>
        <v xml:space="preserve">   200290</v>
      </c>
      <c r="B1056"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1056">
        <v>12000000</v>
      </c>
      <c r="D1056">
        <v>78550</v>
      </c>
    </row>
    <row r="1057" spans="1:4" x14ac:dyDescent="0.25">
      <c r="A1057" t="str">
        <f>T("   210500")</f>
        <v xml:space="preserve">   210500</v>
      </c>
      <c r="B1057" t="str">
        <f>T("   Glaces de consommation, même contenant du cacao")</f>
        <v xml:space="preserve">   Glaces de consommation, même contenant du cacao</v>
      </c>
      <c r="C1057">
        <v>284687</v>
      </c>
      <c r="D1057">
        <v>819</v>
      </c>
    </row>
    <row r="1058" spans="1:4" x14ac:dyDescent="0.25">
      <c r="A1058" t="str">
        <f>T("   300490")</f>
        <v xml:space="preserve">   300490</v>
      </c>
      <c r="B1058" t="s">
        <v>80</v>
      </c>
      <c r="C1058">
        <v>13737219</v>
      </c>
      <c r="D1058">
        <v>5287</v>
      </c>
    </row>
    <row r="1059" spans="1:4" x14ac:dyDescent="0.25">
      <c r="A1059" t="str">
        <f>T("   300660")</f>
        <v xml:space="preserve">   300660</v>
      </c>
      <c r="B1059" t="str">
        <f>T("   Préparations chimiques contraceptives à base d'hormones, de prostaglandines, de thromboxanes, de leucotriènes, de leurs dérivés et analogues structurels ou de spermicides")</f>
        <v xml:space="preserve">   Préparations chimiques contraceptives à base d'hormones, de prostaglandines, de thromboxanes, de leucotriènes, de leurs dérivés et analogues structurels ou de spermicides</v>
      </c>
      <c r="C1059">
        <v>1076623</v>
      </c>
      <c r="D1059">
        <v>35</v>
      </c>
    </row>
    <row r="1060" spans="1:4" x14ac:dyDescent="0.25">
      <c r="A1060" t="str">
        <f>T("   340111")</f>
        <v xml:space="preserve">   340111</v>
      </c>
      <c r="B1060" t="s">
        <v>102</v>
      </c>
      <c r="C1060">
        <v>5000000</v>
      </c>
      <c r="D1060">
        <v>37920</v>
      </c>
    </row>
    <row r="1061" spans="1:4" x14ac:dyDescent="0.25">
      <c r="A1061" t="str">
        <f>T("   340220")</f>
        <v xml:space="preserve">   340220</v>
      </c>
      <c r="B1061" t="s">
        <v>104</v>
      </c>
      <c r="C1061">
        <v>5625200</v>
      </c>
      <c r="D1061">
        <v>42480</v>
      </c>
    </row>
    <row r="1062" spans="1:4" x14ac:dyDescent="0.25">
      <c r="A1062" t="str">
        <f>T("   380810")</f>
        <v xml:space="preserve">   380810</v>
      </c>
      <c r="B1062" t="str">
        <f>T("   Insecticides présentés dans des formes ou emballages de vente au détail ou à l'état de préparations ou sous forme d'articles")</f>
        <v xml:space="preserve">   Insecticides présentés dans des formes ou emballages de vente au détail ou à l'état de préparations ou sous forme d'articles</v>
      </c>
      <c r="C1062">
        <v>2000000</v>
      </c>
      <c r="D1062">
        <v>2500</v>
      </c>
    </row>
    <row r="1063" spans="1:4" x14ac:dyDescent="0.25">
      <c r="A1063" t="str">
        <f>T("   392350")</f>
        <v xml:space="preserve">   392350</v>
      </c>
      <c r="B1063" t="str">
        <f>T("   Bouchons, couvercles, capsules et autres dispositifs de fermeture, en matières plastiques")</f>
        <v xml:space="preserve">   Bouchons, couvercles, capsules et autres dispositifs de fermeture, en matières plastiques</v>
      </c>
      <c r="C1063">
        <v>480000</v>
      </c>
      <c r="D1063">
        <v>110</v>
      </c>
    </row>
    <row r="1064" spans="1:4" x14ac:dyDescent="0.25">
      <c r="A1064" t="str">
        <f>T("   441119")</f>
        <v xml:space="preserve">   441119</v>
      </c>
      <c r="B1064" t="s">
        <v>177</v>
      </c>
      <c r="C1064">
        <v>10781727</v>
      </c>
      <c r="D1064">
        <v>70162</v>
      </c>
    </row>
    <row r="1065" spans="1:4" x14ac:dyDescent="0.25">
      <c r="A1065" t="str">
        <f>T("   441129")</f>
        <v xml:space="preserve">   441129</v>
      </c>
      <c r="B1065" t="s">
        <v>179</v>
      </c>
      <c r="C1065">
        <v>16844176</v>
      </c>
      <c r="D1065">
        <v>116921</v>
      </c>
    </row>
    <row r="1066" spans="1:4" x14ac:dyDescent="0.25">
      <c r="A1066" t="str">
        <f>T("   441199")</f>
        <v xml:space="preserve">   441199</v>
      </c>
      <c r="B1066" t="s">
        <v>181</v>
      </c>
      <c r="C1066">
        <v>15610033</v>
      </c>
      <c r="D1066">
        <v>93480</v>
      </c>
    </row>
    <row r="1067" spans="1:4" x14ac:dyDescent="0.25">
      <c r="A1067" t="str">
        <f>T("   441820")</f>
        <v xml:space="preserve">   441820</v>
      </c>
      <c r="B1067" t="str">
        <f>T("   Portes et leurs cadres, chambranles et seuils, en bois")</f>
        <v xml:space="preserve">   Portes et leurs cadres, chambranles et seuils, en bois</v>
      </c>
      <c r="C1067">
        <v>11885579</v>
      </c>
      <c r="D1067">
        <v>23693</v>
      </c>
    </row>
    <row r="1068" spans="1:4" x14ac:dyDescent="0.25">
      <c r="A1068" t="str">
        <f>T("   481930")</f>
        <v xml:space="preserve">   481930</v>
      </c>
      <c r="B1068" t="str">
        <f>T("   Sacs, en papier, carton, ouate de cellulose ou nappes de fibres de cellulose, d'une largeur à la base &gt;= 40 cm")</f>
        <v xml:space="preserve">   Sacs, en papier, carton, ouate de cellulose ou nappes de fibres de cellulose, d'une largeur à la base &gt;= 40 cm</v>
      </c>
      <c r="C1068">
        <v>111585000</v>
      </c>
      <c r="D1068">
        <v>181706</v>
      </c>
    </row>
    <row r="1069" spans="1:4" x14ac:dyDescent="0.25">
      <c r="A1069" t="str">
        <f>T("   630533")</f>
        <v xml:space="preserve">   630533</v>
      </c>
      <c r="B1069" t="str">
        <f>T("   Sacs et sachets d'emballage obtenus à partir de lames ou formes simil., de polyéthylène ou polypropylène (à l'excl. des contenants souples pour matières en vrac)")</f>
        <v xml:space="preserve">   Sacs et sachets d'emballage obtenus à partir de lames ou formes simil., de polyéthylène ou polypropylène (à l'excl. des contenants souples pour matières en vrac)</v>
      </c>
      <c r="C1069">
        <v>381400</v>
      </c>
      <c r="D1069">
        <v>457.68</v>
      </c>
    </row>
    <row r="1070" spans="1:4" x14ac:dyDescent="0.25">
      <c r="A1070" t="str">
        <f>T("   630900")</f>
        <v xml:space="preserve">   630900</v>
      </c>
      <c r="B1070" t="s">
        <v>278</v>
      </c>
      <c r="C1070">
        <v>11800720</v>
      </c>
      <c r="D1070">
        <v>22000</v>
      </c>
    </row>
    <row r="1071" spans="1:4" x14ac:dyDescent="0.25">
      <c r="A1071" t="str">
        <f>T("   690890")</f>
        <v xml:space="preserve">   690890</v>
      </c>
      <c r="B1071" t="s">
        <v>311</v>
      </c>
      <c r="C1071">
        <v>38907158</v>
      </c>
      <c r="D1071">
        <v>297301</v>
      </c>
    </row>
    <row r="1072" spans="1:4" x14ac:dyDescent="0.25">
      <c r="A1072" t="str">
        <f>T("   701321")</f>
        <v xml:space="preserve">   701321</v>
      </c>
      <c r="B1072" t="str">
        <f>T("   Verres à boire en cristal au plomb")</f>
        <v xml:space="preserve">   Verres à boire en cristal au plomb</v>
      </c>
      <c r="C1072">
        <v>1428161</v>
      </c>
      <c r="D1072">
        <v>1795</v>
      </c>
    </row>
    <row r="1073" spans="1:4" x14ac:dyDescent="0.25">
      <c r="A1073" t="str">
        <f>T("   701329")</f>
        <v xml:space="preserve">   701329</v>
      </c>
      <c r="B1073" t="str">
        <f>T("   Verres à boire (autres qu'en vitrocérame, autres qu'en cristal au plomb)")</f>
        <v xml:space="preserve">   Verres à boire (autres qu'en vitrocérame, autres qu'en cristal au plomb)</v>
      </c>
      <c r="C1073">
        <v>24192622</v>
      </c>
      <c r="D1073">
        <v>29112.799999999999</v>
      </c>
    </row>
    <row r="1074" spans="1:4" x14ac:dyDescent="0.25">
      <c r="A1074" t="str">
        <f>T("   701332")</f>
        <v xml:space="preserve">   701332</v>
      </c>
      <c r="B1074" t="s">
        <v>329</v>
      </c>
      <c r="C1074">
        <v>1402419</v>
      </c>
      <c r="D1074">
        <v>3937.84</v>
      </c>
    </row>
    <row r="1075" spans="1:4" x14ac:dyDescent="0.25">
      <c r="A1075" t="str">
        <f>T("   701339")</f>
        <v xml:space="preserve">   701339</v>
      </c>
      <c r="B1075" t="s">
        <v>330</v>
      </c>
      <c r="C1075">
        <v>9715038</v>
      </c>
      <c r="D1075">
        <v>18682.740000000002</v>
      </c>
    </row>
    <row r="1076" spans="1:4" x14ac:dyDescent="0.25">
      <c r="A1076" t="str">
        <f>T("   701399")</f>
        <v xml:space="preserve">   701399</v>
      </c>
      <c r="B1076" t="s">
        <v>332</v>
      </c>
      <c r="C1076">
        <v>345549</v>
      </c>
      <c r="D1076">
        <v>666</v>
      </c>
    </row>
    <row r="1077" spans="1:4" x14ac:dyDescent="0.25">
      <c r="A1077" t="str">
        <f>T("   731700")</f>
        <v xml:space="preserve">   731700</v>
      </c>
      <c r="B1077" t="str">
        <f>T("   Pointes, clous, punaises, crampons appointés, agrafes ondulées ou biseautées et articles simil., en fonte, fer ou acier, même avec tête en autre matière (à l'excl. de ceux avec tête en cuivre et à l'excl. des agrafes en barrettes)")</f>
        <v xml:space="preserve">   Pointes, clous, punaises, crampons appointés, agrafes ondulées ou biseautées et articles simil., en fonte, fer ou acier, même avec tête en autre matière (à l'excl. de ceux avec tête en cuivre et à l'excl. des agrafes en barrettes)</v>
      </c>
      <c r="C1077">
        <v>1500000</v>
      </c>
      <c r="D1077">
        <v>11500</v>
      </c>
    </row>
    <row r="1078" spans="1:4" x14ac:dyDescent="0.25">
      <c r="A1078" t="str">
        <f>T("   732111")</f>
        <v xml:space="preserve">   732111</v>
      </c>
      <c r="B1078" t="s">
        <v>361</v>
      </c>
      <c r="C1078">
        <v>12497445</v>
      </c>
      <c r="D1078">
        <v>7023</v>
      </c>
    </row>
    <row r="1079" spans="1:4" x14ac:dyDescent="0.25">
      <c r="A1079" t="str">
        <f>T("   732112")</f>
        <v xml:space="preserve">   732112</v>
      </c>
      <c r="B1079" t="s">
        <v>362</v>
      </c>
      <c r="C1079">
        <v>10415011</v>
      </c>
      <c r="D1079">
        <v>5373</v>
      </c>
    </row>
    <row r="1080" spans="1:4" x14ac:dyDescent="0.25">
      <c r="A1080" t="str">
        <f>T("   732190")</f>
        <v xml:space="preserve">   732190</v>
      </c>
      <c r="B1080" t="str">
        <f>T("   Parties des appareils ménagers chauffants non-électriques du n° 7321, n.d.a.")</f>
        <v xml:space="preserve">   Parties des appareils ménagers chauffants non-électriques du n° 7321, n.d.a.</v>
      </c>
      <c r="C1080">
        <v>546277</v>
      </c>
      <c r="D1080">
        <v>831</v>
      </c>
    </row>
    <row r="1081" spans="1:4" x14ac:dyDescent="0.25">
      <c r="A1081" t="str">
        <f>T("   732394")</f>
        <v xml:space="preserve">   732394</v>
      </c>
      <c r="B1081" t="s">
        <v>367</v>
      </c>
      <c r="C1081">
        <v>800000</v>
      </c>
      <c r="D1081">
        <v>1200</v>
      </c>
    </row>
    <row r="1082" spans="1:4" x14ac:dyDescent="0.25">
      <c r="A1082" t="str">
        <f>T("   841920")</f>
        <v xml:space="preserve">   841920</v>
      </c>
      <c r="B1082" t="str">
        <f>T("   Stérilisateurs médico-chirurgicaux ou de laboratoire")</f>
        <v xml:space="preserve">   Stérilisateurs médico-chirurgicaux ou de laboratoire</v>
      </c>
      <c r="C1082">
        <v>1889637</v>
      </c>
      <c r="D1082">
        <v>135</v>
      </c>
    </row>
    <row r="1083" spans="1:4" x14ac:dyDescent="0.25">
      <c r="A1083" t="str">
        <f>T("   847480")</f>
        <v xml:space="preserve">   847480</v>
      </c>
      <c r="B1083" t="s">
        <v>440</v>
      </c>
      <c r="C1083">
        <v>5689885</v>
      </c>
      <c r="D1083">
        <v>220</v>
      </c>
    </row>
    <row r="1084" spans="1:4" x14ac:dyDescent="0.25">
      <c r="A1084" t="str">
        <f>T("   850211")</f>
        <v xml:space="preserve">   850211</v>
      </c>
      <c r="B1084" t="s">
        <v>449</v>
      </c>
      <c r="C1084">
        <v>4167469</v>
      </c>
      <c r="D1084">
        <v>245</v>
      </c>
    </row>
    <row r="1085" spans="1:4" x14ac:dyDescent="0.25">
      <c r="A1085" t="str">
        <f>T("   850212")</f>
        <v xml:space="preserve">   850212</v>
      </c>
      <c r="B1085"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1085">
        <v>3148107</v>
      </c>
      <c r="D1085">
        <v>123</v>
      </c>
    </row>
    <row r="1086" spans="1:4" x14ac:dyDescent="0.25">
      <c r="A1086" t="str">
        <f>T("   850680")</f>
        <v xml:space="preserve">   850680</v>
      </c>
      <c r="B1086" t="str">
        <f>T("   Piles et batteries de piles électriques (sauf hors d'usage et autres que piles et batteries à l'oxyde d'argent, de mercure, au bioxyde de manganèse, au lithium et à l'air-zinc)")</f>
        <v xml:space="preserve">   Piles et batteries de piles électriques (sauf hors d'usage et autres que piles et batteries à l'oxyde d'argent, de mercure, au bioxyde de manganèse, au lithium et à l'air-zinc)</v>
      </c>
      <c r="C1086">
        <v>6500000</v>
      </c>
      <c r="D1086">
        <v>22000</v>
      </c>
    </row>
    <row r="1087" spans="1:4" x14ac:dyDescent="0.25">
      <c r="A1087" t="str">
        <f>T("   851529")</f>
        <v xml:space="preserve">   851529</v>
      </c>
      <c r="B1087" t="str">
        <f>T("   MACHINES ET APPAREILS POUR LE SOUDAGE DES MÉTAUX PAR RÉSISTANCE, NON-AUTOMATIQUES")</f>
        <v xml:space="preserve">   MACHINES ET APPAREILS POUR LE SOUDAGE DES MÉTAUX PAR RÉSISTANCE, NON-AUTOMATIQUES</v>
      </c>
      <c r="C1087">
        <v>756218</v>
      </c>
      <c r="D1087">
        <v>3800</v>
      </c>
    </row>
    <row r="1088" spans="1:4" x14ac:dyDescent="0.25">
      <c r="A1088" t="str">
        <f>T("   870323")</f>
        <v xml:space="preserve">   870323</v>
      </c>
      <c r="B1088" t="s">
        <v>481</v>
      </c>
      <c r="C1088">
        <v>25005781</v>
      </c>
      <c r="D1088">
        <v>5590</v>
      </c>
    </row>
    <row r="1089" spans="1:4" x14ac:dyDescent="0.25">
      <c r="A1089" t="str">
        <f>T("   870332")</f>
        <v xml:space="preserve">   870332</v>
      </c>
      <c r="B1089" t="s">
        <v>484</v>
      </c>
      <c r="C1089">
        <v>13685443</v>
      </c>
      <c r="D1089">
        <v>1604</v>
      </c>
    </row>
    <row r="1090" spans="1:4" x14ac:dyDescent="0.25">
      <c r="A1090" t="str">
        <f>T("   940350")</f>
        <v xml:space="preserve">   940350</v>
      </c>
      <c r="B1090" t="str">
        <f>T("   Meubles pour chambres à coucher, en bois (sauf sièges)")</f>
        <v xml:space="preserve">   Meubles pour chambres à coucher, en bois (sauf sièges)</v>
      </c>
      <c r="C1090">
        <v>1200000</v>
      </c>
      <c r="D1090">
        <v>2500</v>
      </c>
    </row>
    <row r="1091" spans="1:4" x14ac:dyDescent="0.25">
      <c r="A1091" t="str">
        <f>T("CA")</f>
        <v>CA</v>
      </c>
      <c r="B1091" t="str">
        <f>T("Canada")</f>
        <v>Canada</v>
      </c>
    </row>
    <row r="1092" spans="1:4" x14ac:dyDescent="0.25">
      <c r="A1092" t="str">
        <f>T("   ZZ_Total_Produit_SH6")</f>
        <v xml:space="preserve">   ZZ_Total_Produit_SH6</v>
      </c>
      <c r="B1092" t="str">
        <f>T("   ZZ_Total_Produit_SH6")</f>
        <v xml:space="preserve">   ZZ_Total_Produit_SH6</v>
      </c>
      <c r="C1092">
        <v>1962156070</v>
      </c>
      <c r="D1092">
        <v>3236455</v>
      </c>
    </row>
    <row r="1093" spans="1:4" x14ac:dyDescent="0.25">
      <c r="A1093" t="str">
        <f>T("   020714")</f>
        <v xml:space="preserve">   020714</v>
      </c>
      <c r="B1093" t="str">
        <f>T("   Morceaux et abats comestibles de coqs et de poules [des espèces domestiques], congelés")</f>
        <v xml:space="preserve">   Morceaux et abats comestibles de coqs et de poules [des espèces domestiques], congelés</v>
      </c>
      <c r="C1093">
        <v>541998095</v>
      </c>
      <c r="D1093">
        <v>907730</v>
      </c>
    </row>
    <row r="1094" spans="1:4" x14ac:dyDescent="0.25">
      <c r="A1094" t="str">
        <f>T("   020726")</f>
        <v xml:space="preserve">   020726</v>
      </c>
      <c r="B1094" t="str">
        <f>T("   Morceaux et abats comestibles de dindes et dindons [des espèces domestiques], frais ou réfrigérés")</f>
        <v xml:space="preserve">   Morceaux et abats comestibles de dindes et dindons [des espèces domestiques], frais ou réfrigérés</v>
      </c>
      <c r="C1094">
        <v>15000493</v>
      </c>
      <c r="D1094">
        <v>26000</v>
      </c>
    </row>
    <row r="1095" spans="1:4" x14ac:dyDescent="0.25">
      <c r="A1095" t="str">
        <f>T("   020727")</f>
        <v xml:space="preserve">   020727</v>
      </c>
      <c r="B1095" t="str">
        <f>T("   Morceaux et abats comestibles de dindes et dindons [des espèces domestiques], congelés")</f>
        <v xml:space="preserve">   Morceaux et abats comestibles de dindes et dindons [des espèces domestiques], congelés</v>
      </c>
      <c r="C1095">
        <v>149154806</v>
      </c>
      <c r="D1095">
        <v>245925</v>
      </c>
    </row>
    <row r="1096" spans="1:4" x14ac:dyDescent="0.25">
      <c r="A1096" t="str">
        <f>T("   030379")</f>
        <v xml:space="preserve">   030379</v>
      </c>
      <c r="B1096" t="s">
        <v>17</v>
      </c>
      <c r="C1096">
        <v>4375254</v>
      </c>
      <c r="D1096">
        <v>25000</v>
      </c>
    </row>
    <row r="1097" spans="1:4" x14ac:dyDescent="0.25">
      <c r="A1097" t="str">
        <f>T("   250100")</f>
        <v xml:space="preserve">   250100</v>
      </c>
      <c r="B1097" t="s">
        <v>63</v>
      </c>
      <c r="C1097">
        <v>2463055</v>
      </c>
      <c r="D1097">
        <v>25300</v>
      </c>
    </row>
    <row r="1098" spans="1:4" x14ac:dyDescent="0.25">
      <c r="A1098" t="str">
        <f>T("   271011")</f>
        <v xml:space="preserve">   271011</v>
      </c>
      <c r="B1098"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1098">
        <v>4412888</v>
      </c>
      <c r="D1098">
        <v>1061</v>
      </c>
    </row>
    <row r="1099" spans="1:4" x14ac:dyDescent="0.25">
      <c r="A1099" t="str">
        <f>T("   300490")</f>
        <v xml:space="preserve">   300490</v>
      </c>
      <c r="B1099" t="s">
        <v>80</v>
      </c>
      <c r="C1099">
        <v>2089804</v>
      </c>
      <c r="D1099">
        <v>93.5</v>
      </c>
    </row>
    <row r="1100" spans="1:4" x14ac:dyDescent="0.25">
      <c r="A1100" t="str">
        <f>T("   300630")</f>
        <v xml:space="preserve">   300630</v>
      </c>
      <c r="B1100" t="str">
        <f>T("   Préparations opacifiantes pour examens radiographiques; réactifs de diagnostic conçus pour être employés sur le patient")</f>
        <v xml:space="preserve">   Préparations opacifiantes pour examens radiographiques; réactifs de diagnostic conçus pour être employés sur le patient</v>
      </c>
      <c r="C1100">
        <v>1293638</v>
      </c>
      <c r="D1100">
        <v>843</v>
      </c>
    </row>
    <row r="1101" spans="1:4" x14ac:dyDescent="0.25">
      <c r="A1101" t="str">
        <f>T("   330499")</f>
        <v xml:space="preserve">   330499</v>
      </c>
      <c r="B1101" t="s">
        <v>101</v>
      </c>
      <c r="C1101">
        <v>26239</v>
      </c>
      <c r="D1101">
        <v>180</v>
      </c>
    </row>
    <row r="1102" spans="1:4" x14ac:dyDescent="0.25">
      <c r="A1102" t="str">
        <f>T("   391721")</f>
        <v xml:space="preserve">   391721</v>
      </c>
      <c r="B1102" t="str">
        <f>T("   TUBES ET TUYAUX RIGIDES, EN POLYMÈRES DE L'ÉTHYLÈNE")</f>
        <v xml:space="preserve">   TUBES ET TUYAUX RIGIDES, EN POLYMÈRES DE L'ÉTHYLÈNE</v>
      </c>
      <c r="C1102">
        <v>6105661</v>
      </c>
      <c r="D1102">
        <v>20465</v>
      </c>
    </row>
    <row r="1103" spans="1:4" x14ac:dyDescent="0.25">
      <c r="A1103" t="str">
        <f>T("   420219")</f>
        <v xml:space="preserve">   420219</v>
      </c>
      <c r="B1103" t="s">
        <v>162</v>
      </c>
      <c r="C1103">
        <v>315314</v>
      </c>
      <c r="D1103">
        <v>450</v>
      </c>
    </row>
    <row r="1104" spans="1:4" x14ac:dyDescent="0.25">
      <c r="A1104" t="str">
        <f>T("   480100")</f>
        <v xml:space="preserve">   480100</v>
      </c>
      <c r="B1104" t="str">
        <f>T("   Papier journal, en rouleaux d'une largeur &gt; 36 cm ou en feuilles de forme carrée ou rectangulaire dont au moins un coté &gt; 36 cm et l'autre &gt; 15 cm à l'état non plié")</f>
        <v xml:space="preserve">   Papier journal, en rouleaux d'une largeur &gt; 36 cm ou en feuilles de forme carrée ou rectangulaire dont au moins un coté &gt; 36 cm et l'autre &gt; 15 cm à l'état non plié</v>
      </c>
      <c r="C1104">
        <v>46202696</v>
      </c>
      <c r="D1104">
        <v>96881</v>
      </c>
    </row>
    <row r="1105" spans="1:4" x14ac:dyDescent="0.25">
      <c r="A1105" t="str">
        <f>T("   482010")</f>
        <v xml:space="preserve">   482010</v>
      </c>
      <c r="B1105" t="str">
        <f>T("   Registres, livres comptables, carnets de notes, de commandes ou de quittances, blocs-mémorandums, blocs de papier à lettres, agendas et ouvrages simil., en papier ou carton")</f>
        <v xml:space="preserve">   Registres, livres comptables, carnets de notes, de commandes ou de quittances, blocs-mémorandums, blocs de papier à lettres, agendas et ouvrages simil., en papier ou carton</v>
      </c>
      <c r="C1105">
        <v>4900000</v>
      </c>
      <c r="D1105">
        <v>150</v>
      </c>
    </row>
    <row r="1106" spans="1:4" x14ac:dyDescent="0.25">
      <c r="A1106" t="str">
        <f>T("   490199")</f>
        <v xml:space="preserve">   490199</v>
      </c>
      <c r="B1106"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1106">
        <v>350000</v>
      </c>
      <c r="D1106">
        <v>290</v>
      </c>
    </row>
    <row r="1107" spans="1:4" x14ac:dyDescent="0.25">
      <c r="A1107" t="str">
        <f>T("   570490")</f>
        <v xml:space="preserve">   570490</v>
      </c>
      <c r="B1107" t="str">
        <f>T("   TAPIS ET AUTRES REVÊTEMENTS DE SOL, EN FEUTRE, NON TOUFFETÉS NI FLOQUÉS, MÊME CONFECTIONNÉS (À L'EXCL. DES CARREAUX D'UNE SUPERFICIE &lt;= 0,3 M¦)")</f>
        <v xml:space="preserve">   TAPIS ET AUTRES REVÊTEMENTS DE SOL, EN FEUTRE, NON TOUFFETÉS NI FLOQUÉS, MÊME CONFECTIONNÉS (À L'EXCL. DES CARREAUX D'UNE SUPERFICIE &lt;= 0,3 M¦)</v>
      </c>
      <c r="C1107">
        <v>10496</v>
      </c>
      <c r="D1107">
        <v>10</v>
      </c>
    </row>
    <row r="1108" spans="1:4" x14ac:dyDescent="0.25">
      <c r="A1108" t="str">
        <f>T("   610590")</f>
        <v xml:space="preserve">   610590</v>
      </c>
      <c r="B1108" t="str">
        <f>T("   Chemises et chemisettes, en bonneterie, de matières textiles, pour hommes ou garçonnets (sauf de coton, fibres synthétiques ou artificielles et sauf chemises de nuit, T-shirts et maillots de corps)")</f>
        <v xml:space="preserve">   Chemises et chemisettes, en bonneterie, de matières textiles, pour hommes ou garçonnets (sauf de coton, fibres synthétiques ou artificielles et sauf chemises de nuit, T-shirts et maillots de corps)</v>
      </c>
      <c r="C1108">
        <v>26239</v>
      </c>
      <c r="D1108">
        <v>50</v>
      </c>
    </row>
    <row r="1109" spans="1:4" x14ac:dyDescent="0.25">
      <c r="A1109" t="str">
        <f>T("   610910")</f>
        <v xml:space="preserve">   610910</v>
      </c>
      <c r="B1109" t="str">
        <f>T("   T-shirts et maillots de corps, en bonneterie, de coton,")</f>
        <v xml:space="preserve">   T-shirts et maillots de corps, en bonneterie, de coton,</v>
      </c>
      <c r="C1109">
        <v>6722619</v>
      </c>
      <c r="D1109">
        <v>1790</v>
      </c>
    </row>
    <row r="1110" spans="1:4" x14ac:dyDescent="0.25">
      <c r="A1110" t="str">
        <f>T("   620590")</f>
        <v xml:space="preserve">   620590</v>
      </c>
      <c r="B1110"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110">
        <v>1080000</v>
      </c>
      <c r="D1110">
        <v>1494</v>
      </c>
    </row>
    <row r="1111" spans="1:4" x14ac:dyDescent="0.25">
      <c r="A1111" t="str">
        <f>T("   621040")</f>
        <v xml:space="preserve">   621040</v>
      </c>
      <c r="B1111" t="s">
        <v>271</v>
      </c>
      <c r="C1111">
        <v>800000</v>
      </c>
      <c r="D1111">
        <v>641</v>
      </c>
    </row>
    <row r="1112" spans="1:4" x14ac:dyDescent="0.25">
      <c r="A1112" t="str">
        <f>T("   630539")</f>
        <v xml:space="preserve">   630539</v>
      </c>
      <c r="B1112" t="str">
        <f>T("   Sacs et sachets d'emballage de matières synthétiques ou artificielles (autres qu'en lames ou formes simil. de polyéthylène ou de polypropylène ainsi que contenants souples pour matières en vrac)")</f>
        <v xml:space="preserve">   Sacs et sachets d'emballage de matières synthétiques ou artificielles (autres qu'en lames ou formes simil. de polyéthylène ou de polypropylène ainsi que contenants souples pour matières en vrac)</v>
      </c>
      <c r="C1112">
        <v>1005908</v>
      </c>
      <c r="D1112">
        <v>24947</v>
      </c>
    </row>
    <row r="1113" spans="1:4" x14ac:dyDescent="0.25">
      <c r="A1113" t="str">
        <f>T("   630900")</f>
        <v xml:space="preserve">   630900</v>
      </c>
      <c r="B1113" t="s">
        <v>278</v>
      </c>
      <c r="C1113">
        <v>838361213</v>
      </c>
      <c r="D1113">
        <v>1608761</v>
      </c>
    </row>
    <row r="1114" spans="1:4" x14ac:dyDescent="0.25">
      <c r="A1114" t="str">
        <f>T("   691200")</f>
        <v xml:space="preserve">   691200</v>
      </c>
      <c r="B1114" t="s">
        <v>316</v>
      </c>
      <c r="C1114">
        <v>50509</v>
      </c>
      <c r="D1114">
        <v>500</v>
      </c>
    </row>
    <row r="1115" spans="1:4" x14ac:dyDescent="0.25">
      <c r="A1115" t="str">
        <f>T("   691490")</f>
        <v xml:space="preserve">   691490</v>
      </c>
      <c r="B1115" t="str">
        <f>T("   Ouvrages en céramique autres que la porcelaine n.d.a.")</f>
        <v xml:space="preserve">   Ouvrages en céramique autres que la porcelaine n.d.a.</v>
      </c>
      <c r="C1115">
        <v>10496</v>
      </c>
      <c r="D1115">
        <v>20</v>
      </c>
    </row>
    <row r="1116" spans="1:4" x14ac:dyDescent="0.25">
      <c r="A1116" t="str">
        <f>T("   730439")</f>
        <v xml:space="preserve">   730439</v>
      </c>
      <c r="B1116" t="s">
        <v>350</v>
      </c>
      <c r="C1116">
        <v>1323005</v>
      </c>
      <c r="D1116">
        <v>4535</v>
      </c>
    </row>
    <row r="1117" spans="1:4" x14ac:dyDescent="0.25">
      <c r="A1117" t="str">
        <f>T("   731815")</f>
        <v xml:space="preserve">   731815</v>
      </c>
      <c r="B1117" t="s">
        <v>359</v>
      </c>
      <c r="C1117">
        <v>2450000</v>
      </c>
      <c r="D1117">
        <v>3193</v>
      </c>
    </row>
    <row r="1118" spans="1:4" x14ac:dyDescent="0.25">
      <c r="A1118" t="str">
        <f>T("   731819")</f>
        <v xml:space="preserve">   731819</v>
      </c>
      <c r="B1118" t="str">
        <f>T("   Articles de boulonnerie et de visserie, filetés, en fonte, fer ou acier, n.d.a.")</f>
        <v xml:space="preserve">   Articles de boulonnerie et de visserie, filetés, en fonte, fer ou acier, n.d.a.</v>
      </c>
      <c r="C1118">
        <v>483457</v>
      </c>
      <c r="D1118">
        <v>629</v>
      </c>
    </row>
    <row r="1119" spans="1:4" x14ac:dyDescent="0.25">
      <c r="A1119" t="str">
        <f>T("   732394")</f>
        <v xml:space="preserve">   732394</v>
      </c>
      <c r="B1119" t="s">
        <v>367</v>
      </c>
      <c r="C1119">
        <v>1930000</v>
      </c>
      <c r="D1119">
        <v>2751</v>
      </c>
    </row>
    <row r="1120" spans="1:4" x14ac:dyDescent="0.25">
      <c r="A1120" t="str">
        <f>T("   732399")</f>
        <v xml:space="preserve">   732399</v>
      </c>
      <c r="B1120" t="s">
        <v>368</v>
      </c>
      <c r="C1120">
        <v>3649993</v>
      </c>
      <c r="D1120">
        <v>6893</v>
      </c>
    </row>
    <row r="1121" spans="1:4" x14ac:dyDescent="0.25">
      <c r="A1121" t="str">
        <f>T("   732690")</f>
        <v xml:space="preserve">   732690</v>
      </c>
      <c r="B1121"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1121">
        <v>13046206</v>
      </c>
      <c r="D1121">
        <v>3136</v>
      </c>
    </row>
    <row r="1122" spans="1:4" x14ac:dyDescent="0.25">
      <c r="A1122" t="str">
        <f>T("   761519")</f>
        <v xml:space="preserve">   761519</v>
      </c>
      <c r="B1122" t="s">
        <v>373</v>
      </c>
      <c r="C1122">
        <v>400136</v>
      </c>
      <c r="D1122">
        <v>750</v>
      </c>
    </row>
    <row r="1123" spans="1:4" x14ac:dyDescent="0.25">
      <c r="A1123" t="str">
        <f>T("   761699")</f>
        <v xml:space="preserve">   761699</v>
      </c>
      <c r="B1123" t="str">
        <f>T("   Ouvrages en aluminium, n.d.a.")</f>
        <v xml:space="preserve">   Ouvrages en aluminium, n.d.a.</v>
      </c>
      <c r="C1123">
        <v>1306324</v>
      </c>
      <c r="D1123">
        <v>314</v>
      </c>
    </row>
    <row r="1124" spans="1:4" x14ac:dyDescent="0.25">
      <c r="A1124" t="str">
        <f>T("   820520")</f>
        <v xml:space="preserve">   820520</v>
      </c>
      <c r="B1124" t="str">
        <f>T("   Marteaux et masses, avec partie travaillante en métaux communs")</f>
        <v xml:space="preserve">   Marteaux et masses, avec partie travaillante en métaux communs</v>
      </c>
      <c r="C1124">
        <v>21869852</v>
      </c>
      <c r="D1124">
        <v>5256</v>
      </c>
    </row>
    <row r="1125" spans="1:4" x14ac:dyDescent="0.25">
      <c r="A1125" t="str">
        <f>T("   830990")</f>
        <v xml:space="preserve">   830990</v>
      </c>
      <c r="B1125" t="str">
        <f>T("   Bouchons [y.c. les bouchons à pas de vis et les bouchons-verseurs], couvercles, capsules pour bouteilles, bondes filetées, plaques de bondes, scellés et autres accessoires d'emballage, en métaux communs (à l'excl. des bouchons-couronnes)")</f>
        <v xml:space="preserve">   Bouchons [y.c. les bouchons à pas de vis et les bouchons-verseurs], couvercles, capsules pour bouteilles, bondes filetées, plaques de bondes, scellés et autres accessoires d'emballage, en métaux communs (à l'excl. des bouchons-couronnes)</v>
      </c>
      <c r="C1125">
        <v>10575374</v>
      </c>
      <c r="D1125">
        <v>650</v>
      </c>
    </row>
    <row r="1126" spans="1:4" x14ac:dyDescent="0.25">
      <c r="A1126" t="str">
        <f>T("   840820")</f>
        <v xml:space="preserve">   840820</v>
      </c>
      <c r="B1126" t="s">
        <v>392</v>
      </c>
      <c r="C1126">
        <v>1000069</v>
      </c>
      <c r="D1126">
        <v>2000</v>
      </c>
    </row>
    <row r="1127" spans="1:4" x14ac:dyDescent="0.25">
      <c r="A1127" t="str">
        <f>T("   841381")</f>
        <v xml:space="preserve">   841381</v>
      </c>
      <c r="B1127" t="s">
        <v>397</v>
      </c>
      <c r="C1127">
        <v>559488</v>
      </c>
      <c r="D1127">
        <v>134</v>
      </c>
    </row>
    <row r="1128" spans="1:4" x14ac:dyDescent="0.25">
      <c r="A1128" t="str">
        <f>T("   841440")</f>
        <v xml:space="preserve">   841440</v>
      </c>
      <c r="B1128" t="str">
        <f>T("   Compresseurs d'air montés sur châssis à roues et remorquables")</f>
        <v xml:space="preserve">   Compresseurs d'air montés sur châssis à roues et remorquables</v>
      </c>
      <c r="C1128">
        <v>10383741</v>
      </c>
      <c r="D1128">
        <v>2496</v>
      </c>
    </row>
    <row r="1129" spans="1:4" x14ac:dyDescent="0.25">
      <c r="A1129" t="str">
        <f>T("   841829")</f>
        <v xml:space="preserve">   841829</v>
      </c>
      <c r="B1129" t="str">
        <f>T("   Réfrigérateurs ménagers à absorption, non-électriques")</f>
        <v xml:space="preserve">   Réfrigérateurs ménagers à absorption, non-électriques</v>
      </c>
      <c r="C1129">
        <v>399778</v>
      </c>
      <c r="D1129">
        <v>808</v>
      </c>
    </row>
    <row r="1130" spans="1:4" x14ac:dyDescent="0.25">
      <c r="A1130" t="str">
        <f>T("   842131")</f>
        <v xml:space="preserve">   842131</v>
      </c>
      <c r="B1130" t="str">
        <f>T("   Filtres d'entrée d'air pour moteurs à allumage par étincelles ou par compression")</f>
        <v xml:space="preserve">   Filtres d'entrée d'air pour moteurs à allumage par étincelles ou par compression</v>
      </c>
      <c r="C1130">
        <v>13956545</v>
      </c>
      <c r="D1130">
        <v>3354</v>
      </c>
    </row>
    <row r="1131" spans="1:4" x14ac:dyDescent="0.25">
      <c r="A1131" t="str">
        <f>T("   842139")</f>
        <v xml:space="preserve">   842139</v>
      </c>
      <c r="B1131" t="str">
        <f>T("   Appareils pour la filtration ou l'épuration des gaz (autres que pour la séparation isotopique et sauf les filtres d'entrée d'air pour moteurs à allumage par étincelles ou par compression)")</f>
        <v xml:space="preserve">   Appareils pour la filtration ou l'épuration des gaz (autres que pour la séparation isotopique et sauf les filtres d'entrée d'air pour moteurs à allumage par étincelles ou par compression)</v>
      </c>
      <c r="C1131">
        <v>329845</v>
      </c>
      <c r="D1131">
        <v>6</v>
      </c>
    </row>
    <row r="1132" spans="1:4" x14ac:dyDescent="0.25">
      <c r="A1132" t="str">
        <f>T("   842920")</f>
        <v xml:space="preserve">   842920</v>
      </c>
      <c r="B1132" t="str">
        <f>T("   Niveleuses autopropulsées")</f>
        <v xml:space="preserve">   Niveleuses autopropulsées</v>
      </c>
      <c r="C1132">
        <v>6003639</v>
      </c>
      <c r="D1132">
        <v>23000</v>
      </c>
    </row>
    <row r="1133" spans="1:4" x14ac:dyDescent="0.25">
      <c r="A1133" t="str">
        <f>T("   842940")</f>
        <v xml:space="preserve">   842940</v>
      </c>
      <c r="B1133" t="str">
        <f>T("   Rouleaux compresseurs et autres compacteuses, autopropulsés")</f>
        <v xml:space="preserve">   Rouleaux compresseurs et autres compacteuses, autopropulsés</v>
      </c>
      <c r="C1133">
        <v>8024319</v>
      </c>
      <c r="D1133">
        <v>31752</v>
      </c>
    </row>
    <row r="1134" spans="1:4" x14ac:dyDescent="0.25">
      <c r="A1134" t="str">
        <f>T("   842951")</f>
        <v xml:space="preserve">   842951</v>
      </c>
      <c r="B1134" t="str">
        <f>T("   Chargeuses et chargeuses-pelleteuses, à chargement frontal, autopropulsées")</f>
        <v xml:space="preserve">   Chargeuses et chargeuses-pelleteuses, à chargement frontal, autopropulsées</v>
      </c>
      <c r="C1134">
        <v>5272850</v>
      </c>
      <c r="D1134">
        <v>18000</v>
      </c>
    </row>
    <row r="1135" spans="1:4" x14ac:dyDescent="0.25">
      <c r="A1135" t="str">
        <f>T("   842959")</f>
        <v xml:space="preserve">   842959</v>
      </c>
      <c r="B1135"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1135">
        <v>5272850</v>
      </c>
      <c r="D1135">
        <v>19000</v>
      </c>
    </row>
    <row r="1136" spans="1:4" x14ac:dyDescent="0.25">
      <c r="A1136" t="str">
        <f>T("   844319")</f>
        <v xml:space="preserve">   844319</v>
      </c>
      <c r="B1136" t="s">
        <v>423</v>
      </c>
      <c r="C1136">
        <v>1857481</v>
      </c>
      <c r="D1136">
        <v>836</v>
      </c>
    </row>
    <row r="1137" spans="1:4" x14ac:dyDescent="0.25">
      <c r="A1137" t="str">
        <f>T("   847110")</f>
        <v xml:space="preserve">   847110</v>
      </c>
      <c r="B1137" t="str">
        <f>T("   Machines automatiques de traitement de l'information, analogiques ou hybrides")</f>
        <v xml:space="preserve">   Machines automatiques de traitement de l'information, analogiques ou hybrides</v>
      </c>
      <c r="C1137">
        <v>151537</v>
      </c>
      <c r="D1137">
        <v>306</v>
      </c>
    </row>
    <row r="1138" spans="1:4" x14ac:dyDescent="0.25">
      <c r="A1138" t="str">
        <f>T("   847149")</f>
        <v xml:space="preserve">   847149</v>
      </c>
      <c r="B1138" t="s">
        <v>437</v>
      </c>
      <c r="C1138">
        <v>180000</v>
      </c>
      <c r="D1138">
        <v>92</v>
      </c>
    </row>
    <row r="1139" spans="1:4" x14ac:dyDescent="0.25">
      <c r="A1139" t="str">
        <f>T("   847190")</f>
        <v xml:space="preserve">   847190</v>
      </c>
      <c r="B1139"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1139">
        <v>43532520</v>
      </c>
      <c r="D1139">
        <v>2641</v>
      </c>
    </row>
    <row r="1140" spans="1:4" x14ac:dyDescent="0.25">
      <c r="A1140" t="str">
        <f>T("   848180")</f>
        <v xml:space="preserve">   848180</v>
      </c>
      <c r="B1140"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1140">
        <v>12220599</v>
      </c>
      <c r="D1140">
        <v>2937</v>
      </c>
    </row>
    <row r="1141" spans="1:4" x14ac:dyDescent="0.25">
      <c r="A1141" t="str">
        <f>T("   851660")</f>
        <v xml:space="preserve">   851660</v>
      </c>
      <c r="B1141" t="str">
        <f>T("   Fours, cuisinières, réchauds, tables de cuisson, grils et rôtissoires électriques, pour usages domestiques (sauf fours destinés au chauffage des locaux et fours à micro-ondes)")</f>
        <v xml:space="preserve">   Fours, cuisinières, réchauds, tables de cuisson, grils et rôtissoires électriques, pour usages domestiques (sauf fours destinés au chauffage des locaux et fours à micro-ondes)</v>
      </c>
      <c r="C1141">
        <v>199889</v>
      </c>
      <c r="D1141">
        <v>404</v>
      </c>
    </row>
    <row r="1142" spans="1:4" x14ac:dyDescent="0.25">
      <c r="A1142" t="str">
        <f>T("   852719")</f>
        <v xml:space="preserve">   852719</v>
      </c>
      <c r="B1142" t="str">
        <f>T("   Récepteurs de radiodiffusion pouvant fonctionner sans source d'énergie extérieure, y.c. les appareils recevant également la radiotéléphonie ou la radiotélégraphie, non combinés à un appareil d'enregistrement et de reproduction du son")</f>
        <v xml:space="preserve">   Récepteurs de radiodiffusion pouvant fonctionner sans source d'énergie extérieure, y.c. les appareils recevant également la radiotéléphonie ou la radiotélégraphie, non combinés à un appareil d'enregistrement et de reproduction du son</v>
      </c>
      <c r="C1142">
        <v>30175</v>
      </c>
      <c r="D1142">
        <v>240</v>
      </c>
    </row>
    <row r="1143" spans="1:4" x14ac:dyDescent="0.25">
      <c r="A1143" t="str">
        <f>T("   852812")</f>
        <v xml:space="preserve">   852812</v>
      </c>
      <c r="B1143"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1143">
        <v>60000</v>
      </c>
      <c r="D1143">
        <v>8</v>
      </c>
    </row>
    <row r="1144" spans="1:4" x14ac:dyDescent="0.25">
      <c r="A1144" t="str">
        <f>T("   853210")</f>
        <v xml:space="preserve">   853210</v>
      </c>
      <c r="B1144" t="str">
        <f>T("   Condensateurs électriques fixes conçus pour les réseaux électriques de 50/60 Hz et capables d'absorber une puissance réactive &gt;= 0,5 kvar [condensateurs de puissance]")</f>
        <v xml:space="preserve">   Condensateurs électriques fixes conçus pour les réseaux électriques de 50/60 Hz et capables d'absorber une puissance réactive &gt;= 0,5 kvar [condensateurs de puissance]</v>
      </c>
      <c r="C1144">
        <v>1939149</v>
      </c>
      <c r="D1144">
        <v>65</v>
      </c>
    </row>
    <row r="1145" spans="1:4" x14ac:dyDescent="0.25">
      <c r="A1145" t="str">
        <f>T("   853230")</f>
        <v xml:space="preserve">   853230</v>
      </c>
      <c r="B1145" t="str">
        <f>T("   Condensateurs électriques variables ou ajustables")</f>
        <v xml:space="preserve">   Condensateurs électriques variables ou ajustables</v>
      </c>
      <c r="C1145">
        <v>528376</v>
      </c>
      <c r="D1145">
        <v>60</v>
      </c>
    </row>
    <row r="1146" spans="1:4" x14ac:dyDescent="0.25">
      <c r="A1146" t="str">
        <f>T("   853529")</f>
        <v xml:space="preserve">   853529</v>
      </c>
      <c r="B1146" t="str">
        <f>T("   Disjoncteurs, pour une tension &gt;= 72,5 kV")</f>
        <v xml:space="preserve">   Disjoncteurs, pour une tension &gt;= 72,5 kV</v>
      </c>
      <c r="C1146">
        <v>205447</v>
      </c>
      <c r="D1146">
        <v>40</v>
      </c>
    </row>
    <row r="1147" spans="1:4" x14ac:dyDescent="0.25">
      <c r="A1147" t="str">
        <f>T("   853540")</f>
        <v xml:space="preserve">   853540</v>
      </c>
      <c r="B1147" t="str">
        <f>T("   Parafoudres, limiteurs de tension et étaleurs d'ondes, pour une tension &gt; 1.000 V")</f>
        <v xml:space="preserve">   Parafoudres, limiteurs de tension et étaleurs d'ondes, pour une tension &gt; 1.000 V</v>
      </c>
      <c r="C1147">
        <v>291417</v>
      </c>
      <c r="D1147">
        <v>1</v>
      </c>
    </row>
    <row r="1148" spans="1:4" x14ac:dyDescent="0.25">
      <c r="A1148" t="str">
        <f>T("   854449")</f>
        <v xml:space="preserve">   854449</v>
      </c>
      <c r="B1148" t="str">
        <f>T("   CONDUCTEURS ÉLECTRIQUES, POUR TENSION &lt;= 1.000 V, ISOLÉS, SANS PIÈCES DE CONNEXION, N.D.A.")</f>
        <v xml:space="preserve">   CONDUCTEURS ÉLECTRIQUES, POUR TENSION &lt;= 1.000 V, ISOLÉS, SANS PIÈCES DE CONNEXION, N.D.A.</v>
      </c>
      <c r="C1148">
        <v>739158</v>
      </c>
      <c r="D1148">
        <v>346</v>
      </c>
    </row>
    <row r="1149" spans="1:4" x14ac:dyDescent="0.25">
      <c r="A1149" t="str">
        <f>T("   854459")</f>
        <v xml:space="preserve">   854459</v>
      </c>
      <c r="B1149" t="str">
        <f>T("   Conducteurs électriques, pour tension &gt; 80 V mais &lt;= 1.000 V, sans pièces de connexion, n.d.a.")</f>
        <v xml:space="preserve">   Conducteurs électriques, pour tension &gt; 80 V mais &lt;= 1.000 V, sans pièces de connexion, n.d.a.</v>
      </c>
      <c r="C1149">
        <v>4544457</v>
      </c>
      <c r="D1149">
        <v>1092</v>
      </c>
    </row>
    <row r="1150" spans="1:4" x14ac:dyDescent="0.25">
      <c r="A1150" t="str">
        <f>T("   870110")</f>
        <v xml:space="preserve">   870110</v>
      </c>
      <c r="B1150" t="str">
        <f>T("   Motoculteurs et tracteurs de construction similaire pour l'industrie (sauf tracteurs pour véhicules automobiles articulés)")</f>
        <v xml:space="preserve">   Motoculteurs et tracteurs de construction similaire pour l'industrie (sauf tracteurs pour véhicules automobiles articulés)</v>
      </c>
      <c r="C1150">
        <v>26957206</v>
      </c>
      <c r="D1150">
        <v>6000</v>
      </c>
    </row>
    <row r="1151" spans="1:4" x14ac:dyDescent="0.25">
      <c r="A1151" t="str">
        <f>T("   870322")</f>
        <v xml:space="preserve">   870322</v>
      </c>
      <c r="B1151" t="s">
        <v>480</v>
      </c>
      <c r="C1151">
        <v>33975622</v>
      </c>
      <c r="D1151">
        <v>14461</v>
      </c>
    </row>
    <row r="1152" spans="1:4" x14ac:dyDescent="0.25">
      <c r="A1152" t="str">
        <f>T("   870323")</f>
        <v xml:space="preserve">   870323</v>
      </c>
      <c r="B1152" t="s">
        <v>481</v>
      </c>
      <c r="C1152">
        <v>18568512</v>
      </c>
      <c r="D1152">
        <v>16520</v>
      </c>
    </row>
    <row r="1153" spans="1:4" x14ac:dyDescent="0.25">
      <c r="A1153" t="str">
        <f>T("   870324")</f>
        <v xml:space="preserve">   870324</v>
      </c>
      <c r="B1153" t="s">
        <v>482</v>
      </c>
      <c r="C1153">
        <v>2476249</v>
      </c>
      <c r="D1153">
        <v>1100</v>
      </c>
    </row>
    <row r="1154" spans="1:4" x14ac:dyDescent="0.25">
      <c r="A1154" t="str">
        <f>T("   870333")</f>
        <v xml:space="preserve">   870333</v>
      </c>
      <c r="B1154" t="s">
        <v>485</v>
      </c>
      <c r="C1154">
        <v>32132700</v>
      </c>
      <c r="D1154">
        <v>2700</v>
      </c>
    </row>
    <row r="1155" spans="1:4" x14ac:dyDescent="0.25">
      <c r="A1155" t="str">
        <f>T("   870422")</f>
        <v xml:space="preserve">   870422</v>
      </c>
      <c r="B1155" t="s">
        <v>487</v>
      </c>
      <c r="C1155">
        <v>2062373</v>
      </c>
      <c r="D1155">
        <v>5600</v>
      </c>
    </row>
    <row r="1156" spans="1:4" x14ac:dyDescent="0.25">
      <c r="A1156" t="str">
        <f>T("   870790")</f>
        <v xml:space="preserve">   870790</v>
      </c>
      <c r="B1156" t="str">
        <f>T("   CARROSSERIES DE TRACTEURS, VÉHICULES POUR LE TRANSPORT DE &gt;= 10 PERSONNES, CHAUFFEUR INCLUS, VÉHICULES POUR LE TRANSPORT DE MARCHANDISES ET VÉHICULES À USAGES SPÉCIAUX")</f>
        <v xml:space="preserve">   CARROSSERIES DE TRACTEURS, VÉHICULES POUR LE TRANSPORT DE &gt;= 10 PERSONNES, CHAUFFEUR INCLUS, VÉHICULES POUR LE TRANSPORT DE MARCHANDISES ET VÉHICULES À USAGES SPÉCIAUX</v>
      </c>
      <c r="C1156">
        <v>499500</v>
      </c>
      <c r="D1156">
        <v>115</v>
      </c>
    </row>
    <row r="1157" spans="1:4" x14ac:dyDescent="0.25">
      <c r="A1157" t="str">
        <f>T("   870829")</f>
        <v xml:space="preserve">   870829</v>
      </c>
      <c r="B1157" t="s">
        <v>493</v>
      </c>
      <c r="C1157">
        <v>10718118</v>
      </c>
      <c r="D1157">
        <v>19100</v>
      </c>
    </row>
    <row r="1158" spans="1:4" x14ac:dyDescent="0.25">
      <c r="A1158" t="str">
        <f>T("   870839")</f>
        <v xml:space="preserve">   870839</v>
      </c>
      <c r="B1158" t="str">
        <f>T("   FREINS ET SERVO-FREINS, ET LEURS PARTIES, POUR DE TRACTEURS, VÉHICULES POUR LE TRANSPORT DE &gt;= 10 PERSONNES, CHAUFFEUR INCLUS, VOITURES DE TOURISME, VÉHICULES POUR LE TRANSPORT DE MARCHANDISES ET VÉHICULES À USAGES SPÉCIAUX, N.D.A.")</f>
        <v xml:space="preserve">   FREINS ET SERVO-FREINS, ET LEURS PARTIES, POUR DE TRACTEURS, VÉHICULES POUR LE TRANSPORT DE &gt;= 10 PERSONNES, CHAUFFEUR INCLUS, VOITURES DE TOURISME, VÉHICULES POUR LE TRANSPORT DE MARCHANDISES ET VÉHICULES À USAGES SPÉCIAUX, N.D.A.</v>
      </c>
      <c r="C1158">
        <v>250000</v>
      </c>
      <c r="D1158">
        <v>97</v>
      </c>
    </row>
    <row r="1159" spans="1:4" x14ac:dyDescent="0.25">
      <c r="A1159" t="str">
        <f>T("   870899")</f>
        <v xml:space="preserve">   870899</v>
      </c>
      <c r="B1159"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1159">
        <v>22058330</v>
      </c>
      <c r="D1159">
        <v>21631</v>
      </c>
    </row>
    <row r="1160" spans="1:4" x14ac:dyDescent="0.25">
      <c r="A1160" t="str">
        <f>T("   910129")</f>
        <v xml:space="preserve">   910129</v>
      </c>
      <c r="B1160" t="str">
        <f>T("   Montres-bracelets, même incorporant un compteur de temps, à remontage exclusivement manuel, avec boîte en métaux précieux ou en plaqués ou doublés de métaux précieux (sauf celles dont le fond est en acier)")</f>
        <v xml:space="preserve">   Montres-bracelets, même incorporant un compteur de temps, à remontage exclusivement manuel, avec boîte en métaux précieux ou en plaqués ou doublés de métaux précieux (sauf celles dont le fond est en acier)</v>
      </c>
      <c r="C1160">
        <v>2900000</v>
      </c>
      <c r="D1160">
        <v>62.5</v>
      </c>
    </row>
    <row r="1161" spans="1:4" x14ac:dyDescent="0.25">
      <c r="A1161" t="str">
        <f>T("   940350")</f>
        <v xml:space="preserve">   940350</v>
      </c>
      <c r="B1161" t="str">
        <f>T("   Meubles pour chambres à coucher, en bois (sauf sièges)")</f>
        <v xml:space="preserve">   Meubles pour chambres à coucher, en bois (sauf sièges)</v>
      </c>
      <c r="C1161">
        <v>2900000</v>
      </c>
      <c r="D1161">
        <v>4600</v>
      </c>
    </row>
    <row r="1162" spans="1:4" x14ac:dyDescent="0.25">
      <c r="A1162" t="str">
        <f>T("   940360")</f>
        <v xml:space="preserve">   940360</v>
      </c>
      <c r="B1162" t="str">
        <f>T("   Meubles en bois (autres que pour bureaux, cuisines ou chambres à coucher et autres que sièges)")</f>
        <v xml:space="preserve">   Meubles en bois (autres que pour bureaux, cuisines ou chambres à coucher et autres que sièges)</v>
      </c>
      <c r="C1162">
        <v>3950361</v>
      </c>
      <c r="D1162">
        <v>15457</v>
      </c>
    </row>
    <row r="1163" spans="1:4" x14ac:dyDescent="0.25">
      <c r="A1163" t="str">
        <f>T("   940380")</f>
        <v xml:space="preserve">   940380</v>
      </c>
      <c r="B1163" t="str">
        <f>T("   Meubles en rotin, osier, bambou ou autres matières (sauf métal, bois et matières plastiques)")</f>
        <v xml:space="preserve">   Meubles en rotin, osier, bambou ou autres matières (sauf métal, bois et matières plastiques)</v>
      </c>
      <c r="C1163">
        <v>500000</v>
      </c>
      <c r="D1163">
        <v>205</v>
      </c>
    </row>
    <row r="1164" spans="1:4" x14ac:dyDescent="0.25">
      <c r="A1164" t="str">
        <f>T("   940490")</f>
        <v xml:space="preserve">   940490</v>
      </c>
      <c r="B1164" t="s">
        <v>514</v>
      </c>
      <c r="C1164">
        <v>734000</v>
      </c>
      <c r="D1164">
        <v>2500</v>
      </c>
    </row>
    <row r="1165" spans="1:4" x14ac:dyDescent="0.25">
      <c r="A1165" t="str">
        <f>T("CD")</f>
        <v>CD</v>
      </c>
      <c r="B1165" t="str">
        <f>T("Congo, République Démocratique")</f>
        <v>Congo, République Démocratique</v>
      </c>
    </row>
    <row r="1166" spans="1:4" x14ac:dyDescent="0.25">
      <c r="A1166" t="str">
        <f>T("   ZZ_Total_Produit_SH6")</f>
        <v xml:space="preserve">   ZZ_Total_Produit_SH6</v>
      </c>
      <c r="B1166" t="str">
        <f>T("   ZZ_Total_Produit_SH6")</f>
        <v xml:space="preserve">   ZZ_Total_Produit_SH6</v>
      </c>
      <c r="C1166">
        <v>60856167</v>
      </c>
      <c r="D1166">
        <v>63902</v>
      </c>
    </row>
    <row r="1167" spans="1:4" x14ac:dyDescent="0.25">
      <c r="A1167" t="str">
        <f>T("   300490")</f>
        <v xml:space="preserve">   300490</v>
      </c>
      <c r="B1167" t="s">
        <v>80</v>
      </c>
      <c r="C1167">
        <v>6643851</v>
      </c>
      <c r="D1167">
        <v>553</v>
      </c>
    </row>
    <row r="1168" spans="1:4" x14ac:dyDescent="0.25">
      <c r="A1168" t="str">
        <f>T("   330499")</f>
        <v xml:space="preserve">   330499</v>
      </c>
      <c r="B1168" t="s">
        <v>101</v>
      </c>
      <c r="C1168">
        <v>9941704</v>
      </c>
      <c r="D1168">
        <v>39001</v>
      </c>
    </row>
    <row r="1169" spans="1:4" x14ac:dyDescent="0.25">
      <c r="A1169" t="str">
        <f>T("   340111")</f>
        <v xml:space="preserve">   340111</v>
      </c>
      <c r="B1169" t="s">
        <v>102</v>
      </c>
      <c r="C1169">
        <v>487983</v>
      </c>
      <c r="D1169">
        <v>1357</v>
      </c>
    </row>
    <row r="1170" spans="1:4" x14ac:dyDescent="0.25">
      <c r="A1170" t="str">
        <f>T("   620590")</f>
        <v xml:space="preserve">   620590</v>
      </c>
      <c r="B1170"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170">
        <v>1150000</v>
      </c>
      <c r="D1170">
        <v>2750</v>
      </c>
    </row>
    <row r="1171" spans="1:4" x14ac:dyDescent="0.25">
      <c r="A1171" t="str">
        <f>T("   621050")</f>
        <v xml:space="preserve">   621050</v>
      </c>
      <c r="B1171" t="s">
        <v>272</v>
      </c>
      <c r="C1171">
        <v>25864457</v>
      </c>
      <c r="D1171">
        <v>5681</v>
      </c>
    </row>
    <row r="1172" spans="1:4" x14ac:dyDescent="0.25">
      <c r="A1172" t="str">
        <f>T("   732394")</f>
        <v xml:space="preserve">   732394</v>
      </c>
      <c r="B1172" t="s">
        <v>367</v>
      </c>
      <c r="C1172">
        <v>1250000</v>
      </c>
      <c r="D1172">
        <v>2820</v>
      </c>
    </row>
    <row r="1173" spans="1:4" x14ac:dyDescent="0.25">
      <c r="A1173" t="str">
        <f>T("   841810")</f>
        <v xml:space="preserve">   841810</v>
      </c>
      <c r="B1173" t="str">
        <f>T("   Réfrigérateurs et congélateurs-conservateurs combinés, avec portes extérieures séparées")</f>
        <v xml:space="preserve">   Réfrigérateurs et congélateurs-conservateurs combinés, avec portes extérieures séparées</v>
      </c>
      <c r="C1173">
        <v>1688441</v>
      </c>
      <c r="D1173">
        <v>802</v>
      </c>
    </row>
    <row r="1174" spans="1:4" x14ac:dyDescent="0.25">
      <c r="A1174" t="str">
        <f>T("   870322")</f>
        <v xml:space="preserve">   870322</v>
      </c>
      <c r="B1174" t="s">
        <v>480</v>
      </c>
      <c r="C1174">
        <v>1200000</v>
      </c>
      <c r="D1174">
        <v>1200</v>
      </c>
    </row>
    <row r="1175" spans="1:4" x14ac:dyDescent="0.25">
      <c r="A1175" t="str">
        <f>T("   870323")</f>
        <v xml:space="preserve">   870323</v>
      </c>
      <c r="B1175" t="s">
        <v>481</v>
      </c>
      <c r="C1175">
        <v>7291256</v>
      </c>
      <c r="D1175">
        <v>3800</v>
      </c>
    </row>
    <row r="1176" spans="1:4" x14ac:dyDescent="0.25">
      <c r="A1176" t="str">
        <f>T("   940350")</f>
        <v xml:space="preserve">   940350</v>
      </c>
      <c r="B1176" t="str">
        <f>T("   Meubles pour chambres à coucher, en bois (sauf sièges)")</f>
        <v xml:space="preserve">   Meubles pour chambres à coucher, en bois (sauf sièges)</v>
      </c>
      <c r="C1176">
        <v>2100000</v>
      </c>
      <c r="D1176">
        <v>4400</v>
      </c>
    </row>
    <row r="1177" spans="1:4" x14ac:dyDescent="0.25">
      <c r="A1177" t="str">
        <f>T("   940380")</f>
        <v xml:space="preserve">   940380</v>
      </c>
      <c r="B1177" t="str">
        <f>T("   Meubles en rotin, osier, bambou ou autres matières (sauf métal, bois et matières plastiques)")</f>
        <v xml:space="preserve">   Meubles en rotin, osier, bambou ou autres matières (sauf métal, bois et matières plastiques)</v>
      </c>
      <c r="C1177">
        <v>3238475</v>
      </c>
      <c r="D1177">
        <v>1538</v>
      </c>
    </row>
    <row r="1178" spans="1:4" x14ac:dyDescent="0.25">
      <c r="A1178" t="str">
        <f>T("CG")</f>
        <v>CG</v>
      </c>
      <c r="B1178" t="str">
        <f>T("Congo (Brazzaville)")</f>
        <v>Congo (Brazzaville)</v>
      </c>
    </row>
    <row r="1179" spans="1:4" x14ac:dyDescent="0.25">
      <c r="A1179" t="str">
        <f>T("   ZZ_Total_Produit_SH6")</f>
        <v xml:space="preserve">   ZZ_Total_Produit_SH6</v>
      </c>
      <c r="B1179" t="str">
        <f>T("   ZZ_Total_Produit_SH6")</f>
        <v xml:space="preserve">   ZZ_Total_Produit_SH6</v>
      </c>
      <c r="C1179">
        <v>2879381656</v>
      </c>
      <c r="D1179">
        <v>7127100</v>
      </c>
    </row>
    <row r="1180" spans="1:4" x14ac:dyDescent="0.25">
      <c r="A1180" t="str">
        <f>T("   271113")</f>
        <v xml:space="preserve">   271113</v>
      </c>
      <c r="B1180" t="str">
        <f>T("   Butanes, liquéfiés (à l'excl. des butanes d'une pureté &gt;= 95% en n-butane ou en isobutane)")</f>
        <v xml:space="preserve">   Butanes, liquéfiés (à l'excl. des butanes d'une pureté &gt;= 95% en n-butane ou en isobutane)</v>
      </c>
      <c r="C1180">
        <v>2872357980</v>
      </c>
      <c r="D1180">
        <v>7124966</v>
      </c>
    </row>
    <row r="1181" spans="1:4" x14ac:dyDescent="0.25">
      <c r="A1181" t="str">
        <f>T("   490199")</f>
        <v xml:space="preserve">   490199</v>
      </c>
      <c r="B1181"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1181">
        <v>641370</v>
      </c>
      <c r="D1181">
        <v>122</v>
      </c>
    </row>
    <row r="1182" spans="1:4" x14ac:dyDescent="0.25">
      <c r="A1182" t="str">
        <f>T("   620349")</f>
        <v xml:space="preserve">   620349</v>
      </c>
      <c r="B1182" t="s">
        <v>266</v>
      </c>
      <c r="C1182">
        <v>2924994</v>
      </c>
      <c r="D1182">
        <v>324</v>
      </c>
    </row>
    <row r="1183" spans="1:4" x14ac:dyDescent="0.25">
      <c r="A1183" t="str">
        <f>T("   841869")</f>
        <v xml:space="preserve">   841869</v>
      </c>
      <c r="B1183" t="str">
        <f>T("   Matériel, machines et appareils pour la production du froid ainsi que pompes à chaleur à absorption (autres que réfrigérateurs et meubles congélateurs-conservateurs)")</f>
        <v xml:space="preserve">   Matériel, machines et appareils pour la production du froid ainsi que pompes à chaleur à absorption (autres que réfrigérateurs et meubles congélateurs-conservateurs)</v>
      </c>
      <c r="C1183">
        <v>570427</v>
      </c>
      <c r="D1183">
        <v>64</v>
      </c>
    </row>
    <row r="1184" spans="1:4" x14ac:dyDescent="0.25">
      <c r="A1184" t="str">
        <f>T("   850980")</f>
        <v xml:space="preserve">   850980</v>
      </c>
      <c r="B1184" t="s">
        <v>452</v>
      </c>
      <c r="C1184">
        <v>1135101</v>
      </c>
      <c r="D1184">
        <v>217</v>
      </c>
    </row>
    <row r="1185" spans="1:4" x14ac:dyDescent="0.25">
      <c r="A1185" t="str">
        <f>T("   870421")</f>
        <v xml:space="preserve">   870421</v>
      </c>
      <c r="B1185" t="s">
        <v>486</v>
      </c>
      <c r="C1185">
        <v>1211784</v>
      </c>
      <c r="D1185">
        <v>1200</v>
      </c>
    </row>
    <row r="1186" spans="1:4" x14ac:dyDescent="0.25">
      <c r="A1186" t="str">
        <f>T("   871110")</f>
        <v xml:space="preserve">   871110</v>
      </c>
      <c r="B1186" t="str">
        <f>T("   Cyclomoteurs, à moteur à piston alternatif, cylindrée &lt;= 50 cm³, y.c. cycles à moteur auxiliaire")</f>
        <v xml:space="preserve">   Cyclomoteurs, à moteur à piston alternatif, cylindrée &lt;= 50 cm³, y.c. cycles à moteur auxiliaire</v>
      </c>
      <c r="C1186">
        <v>180000</v>
      </c>
      <c r="D1186">
        <v>54</v>
      </c>
    </row>
    <row r="1187" spans="1:4" x14ac:dyDescent="0.25">
      <c r="A1187" t="str">
        <f>T("   871120")</f>
        <v xml:space="preserve">   871120</v>
      </c>
      <c r="B1187" t="str">
        <f>T("   Motocycles à moteur à piston alternatif, cylindrée &gt; 50 cm³ mais &lt;= 250 cm³")</f>
        <v xml:space="preserve">   Motocycles à moteur à piston alternatif, cylindrée &gt; 50 cm³ mais &lt;= 250 cm³</v>
      </c>
      <c r="C1187">
        <v>360000</v>
      </c>
      <c r="D1187">
        <v>153</v>
      </c>
    </row>
    <row r="1188" spans="1:4" x14ac:dyDescent="0.25">
      <c r="A1188" t="str">
        <f>T("CH")</f>
        <v>CH</v>
      </c>
      <c r="B1188" t="str">
        <f>T("Suisse")</f>
        <v>Suisse</v>
      </c>
    </row>
    <row r="1189" spans="1:4" x14ac:dyDescent="0.25">
      <c r="A1189" t="str">
        <f>T("   ZZ_Total_Produit_SH6")</f>
        <v xml:space="preserve">   ZZ_Total_Produit_SH6</v>
      </c>
      <c r="B1189" t="str">
        <f>T("   ZZ_Total_Produit_SH6")</f>
        <v xml:space="preserve">   ZZ_Total_Produit_SH6</v>
      </c>
      <c r="C1189">
        <v>18372963114.835999</v>
      </c>
      <c r="D1189">
        <v>75065773.230000004</v>
      </c>
    </row>
    <row r="1190" spans="1:4" x14ac:dyDescent="0.25">
      <c r="A1190" t="str">
        <f>T("   020712")</f>
        <v xml:space="preserve">   020712</v>
      </c>
      <c r="B1190" t="str">
        <f>T("   COQS ET POULES [DES ESPÈCES DOMESTIQUES], NON-DÉCOUPÉS EN MORCEAUX, CONGELÉS")</f>
        <v xml:space="preserve">   COQS ET POULES [DES ESPÈCES DOMESTIQUES], NON-DÉCOUPÉS EN MORCEAUX, CONGELÉS</v>
      </c>
      <c r="C1190">
        <v>15000493</v>
      </c>
      <c r="D1190">
        <v>25000</v>
      </c>
    </row>
    <row r="1191" spans="1:4" x14ac:dyDescent="0.25">
      <c r="A1191" t="str">
        <f>T("   020714")</f>
        <v xml:space="preserve">   020714</v>
      </c>
      <c r="B1191" t="str">
        <f>T("   Morceaux et abats comestibles de coqs et de poules [des espèces domestiques], congelés")</f>
        <v xml:space="preserve">   Morceaux et abats comestibles de coqs et de poules [des espèces domestiques], congelés</v>
      </c>
      <c r="C1191">
        <v>60001972</v>
      </c>
      <c r="D1191">
        <v>101000</v>
      </c>
    </row>
    <row r="1192" spans="1:4" x14ac:dyDescent="0.25">
      <c r="A1192" t="str">
        <f>T("   020727")</f>
        <v xml:space="preserve">   020727</v>
      </c>
      <c r="B1192" t="str">
        <f>T("   Morceaux et abats comestibles de dindes et dindons [des espèces domestiques], congelés")</f>
        <v xml:space="preserve">   Morceaux et abats comestibles de dindes et dindons [des espèces domestiques], congelés</v>
      </c>
      <c r="C1192">
        <v>30000986</v>
      </c>
      <c r="D1192">
        <v>49000</v>
      </c>
    </row>
    <row r="1193" spans="1:4" x14ac:dyDescent="0.25">
      <c r="A1193" t="str">
        <f>T("   040221")</f>
        <v xml:space="preserve">   040221</v>
      </c>
      <c r="B1193" t="str">
        <f>T("   Lait et crème de lait, en poudre, en granulés ou sous d'autres formes solides, d'une teneur en poids de matières grasses &gt; 1,5%, sans addition de sucre ou d'autres édulcorants")</f>
        <v xml:space="preserve">   Lait et crème de lait, en poudre, en granulés ou sous d'autres formes solides, d'une teneur en poids de matières grasses &gt; 1,5%, sans addition de sucre ou d'autres édulcorants</v>
      </c>
      <c r="C1193">
        <v>28206280</v>
      </c>
      <c r="D1193">
        <v>25350</v>
      </c>
    </row>
    <row r="1194" spans="1:4" x14ac:dyDescent="0.25">
      <c r="A1194" t="str">
        <f>T("   080810")</f>
        <v xml:space="preserve">   080810</v>
      </c>
      <c r="B1194" t="str">
        <f>T("   Pommes, fraîches")</f>
        <v xml:space="preserve">   Pommes, fraîches</v>
      </c>
      <c r="C1194">
        <v>7000000</v>
      </c>
      <c r="D1194">
        <v>25000</v>
      </c>
    </row>
    <row r="1195" spans="1:4" x14ac:dyDescent="0.25">
      <c r="A1195" t="str">
        <f>T("   100630")</f>
        <v xml:space="preserve">   100630</v>
      </c>
      <c r="B1195" t="str">
        <f>T("   Riz semi-blanchi ou blanchi, même poli ou glacé")</f>
        <v xml:space="preserve">   Riz semi-blanchi ou blanchi, même poli ou glacé</v>
      </c>
      <c r="C1195">
        <v>10609958275.809999</v>
      </c>
      <c r="D1195">
        <v>46252744</v>
      </c>
    </row>
    <row r="1196" spans="1:4" x14ac:dyDescent="0.25">
      <c r="A1196" t="str">
        <f>T("   110100")</f>
        <v xml:space="preserve">   110100</v>
      </c>
      <c r="B1196" t="str">
        <f>T("   Farines de froment [blé] ou de méteil")</f>
        <v xml:space="preserve">   Farines de froment [blé] ou de méteil</v>
      </c>
      <c r="C1196">
        <v>178267452.02599999</v>
      </c>
      <c r="D1196">
        <v>675000</v>
      </c>
    </row>
    <row r="1197" spans="1:4" x14ac:dyDescent="0.25">
      <c r="A1197" t="str">
        <f>T("   170191")</f>
        <v xml:space="preserve">   170191</v>
      </c>
      <c r="B1197" t="str">
        <f>T("   Sucres de canne ou de betterave, à l'état solide, additionnés d'aromatisants ou de colorants")</f>
        <v xml:space="preserve">   Sucres de canne ou de betterave, à l'état solide, additionnés d'aromatisants ou de colorants</v>
      </c>
      <c r="C1197">
        <v>90522479</v>
      </c>
      <c r="D1197">
        <v>345000</v>
      </c>
    </row>
    <row r="1198" spans="1:4" x14ac:dyDescent="0.25">
      <c r="A1198" t="str">
        <f>T("   190190")</f>
        <v xml:space="preserve">   190190</v>
      </c>
      <c r="B1198" t="s">
        <v>49</v>
      </c>
      <c r="C1198">
        <v>13119200</v>
      </c>
      <c r="D1198">
        <v>53600</v>
      </c>
    </row>
    <row r="1199" spans="1:4" x14ac:dyDescent="0.25">
      <c r="A1199" t="str">
        <f>T("   220421")</f>
        <v xml:space="preserve">   220421</v>
      </c>
      <c r="B1199" t="str">
        <f>T("   Vins de raisins frais, y.c. les vins enrichis en alcool (à l'excl. des vins mousseux); moûts de raisins dont la fermentation a été empêchée ou arrêtée par addition d'alcool, en récipients d'une contenance &lt;= 2 l")</f>
        <v xml:space="preserve">   Vins de raisins frais, y.c. les vins enrichis en alcool (à l'excl. des vins mousseux); moûts de raisins dont la fermentation a été empêchée ou arrêtée par addition d'alcool, en récipients d'une contenance &lt;= 2 l</v>
      </c>
      <c r="C1199">
        <v>1952694</v>
      </c>
      <c r="D1199">
        <v>9220</v>
      </c>
    </row>
    <row r="1200" spans="1:4" x14ac:dyDescent="0.25">
      <c r="A1200" t="str">
        <f>T("   220720")</f>
        <v xml:space="preserve">   220720</v>
      </c>
      <c r="B1200" t="str">
        <f>T("   Alcool éthylique et eaux-de-vie dénaturés de tous titres")</f>
        <v xml:space="preserve">   Alcool éthylique et eaux-de-vie dénaturés de tous titres</v>
      </c>
      <c r="C1200">
        <v>11921417</v>
      </c>
      <c r="D1200">
        <v>14490</v>
      </c>
    </row>
    <row r="1201" spans="1:4" x14ac:dyDescent="0.25">
      <c r="A1201" t="str">
        <f>T("   252329")</f>
        <v xml:space="preserve">   252329</v>
      </c>
      <c r="B1201" t="str">
        <f>T("   Ciment Portland normal ou modéré (à l'excl. des ciments Portland blancs, même colorés artificiellement)")</f>
        <v xml:space="preserve">   Ciment Portland normal ou modéré (à l'excl. des ciments Portland blancs, même colorés artificiellement)</v>
      </c>
      <c r="C1201">
        <v>455000000</v>
      </c>
      <c r="D1201">
        <v>13000000</v>
      </c>
    </row>
    <row r="1202" spans="1:4" x14ac:dyDescent="0.25">
      <c r="A1202" t="str">
        <f>T("   271320")</f>
        <v xml:space="preserve">   271320</v>
      </c>
      <c r="B1202" t="str">
        <f>T("   Bitume de pétrole")</f>
        <v xml:space="preserve">   Bitume de pétrole</v>
      </c>
      <c r="C1202">
        <v>321075837</v>
      </c>
      <c r="D1202">
        <v>1013880</v>
      </c>
    </row>
    <row r="1203" spans="1:4" x14ac:dyDescent="0.25">
      <c r="A1203" t="str">
        <f>T("   271500")</f>
        <v xml:space="preserve">   271500</v>
      </c>
      <c r="B1203" t="str">
        <f>T("   Mastics bitumineux, 'cut-backs' et autres mélanges bitumineux à base d'asphalte ou de bitume naturels, de bitume de pétrole, de goudron minéral ou de brai de goudron minéral")</f>
        <v xml:space="preserve">   Mastics bitumineux, 'cut-backs' et autres mélanges bitumineux à base d'asphalte ou de bitume naturels, de bitume de pétrole, de goudron minéral ou de brai de goudron minéral</v>
      </c>
      <c r="C1203">
        <v>25691369</v>
      </c>
      <c r="D1203">
        <v>84720</v>
      </c>
    </row>
    <row r="1204" spans="1:4" x14ac:dyDescent="0.25">
      <c r="A1204" t="str">
        <f>T("   283650")</f>
        <v xml:space="preserve">   283650</v>
      </c>
      <c r="B1204" t="str">
        <f>T("   Carbonate de calcium")</f>
        <v xml:space="preserve">   Carbonate de calcium</v>
      </c>
      <c r="C1204">
        <v>14717775</v>
      </c>
      <c r="D1204">
        <v>89750</v>
      </c>
    </row>
    <row r="1205" spans="1:4" x14ac:dyDescent="0.25">
      <c r="A1205" t="str">
        <f>T("   283699")</f>
        <v xml:space="preserve">   283699</v>
      </c>
      <c r="B1205" t="s">
        <v>65</v>
      </c>
      <c r="C1205">
        <v>3476588</v>
      </c>
      <c r="D1205">
        <v>20000</v>
      </c>
    </row>
    <row r="1206" spans="1:4" x14ac:dyDescent="0.25">
      <c r="A1206" t="str">
        <f>T("   292910")</f>
        <v xml:space="preserve">   292910</v>
      </c>
      <c r="B1206" t="str">
        <f>T("   Isocyanates")</f>
        <v xml:space="preserve">   Isocyanates</v>
      </c>
      <c r="C1206">
        <v>131351982</v>
      </c>
      <c r="D1206">
        <v>87597</v>
      </c>
    </row>
    <row r="1207" spans="1:4" x14ac:dyDescent="0.25">
      <c r="A1207" t="str">
        <f>T("   294190")</f>
        <v xml:space="preserve">   294190</v>
      </c>
      <c r="B1207" t="str">
        <f>T("   ANTIBIOTIQUES (À L'EXCL. DES PÉNICILLINES ET DE LEURS DÉRIVÉS À STRUCTURE D'ACIDE PÉNICILLANIQUE, DES STREPTOMYCINES, DES TÉTRACYCLINES, DU CHLORAMPHÉNICOL, DE L'ÉRYÈROMYCINE, DE LEURS DÉRIVÉS ET DES SELS DE TOUS CES PRODUITS)")</f>
        <v xml:space="preserve">   ANTIBIOTIQUES (À L'EXCL. DES PÉNICILLINES ET DE LEURS DÉRIVÉS À STRUCTURE D'ACIDE PÉNICILLANIQUE, DES STREPTOMYCINES, DES TÉTRACYCLINES, DU CHLORAMPHÉNICOL, DE L'ÉRYÈROMYCINE, DE LEURS DÉRIVÉS ET DES SELS DE TOUS CES PRODUITS)</v>
      </c>
      <c r="C1207">
        <v>161956524</v>
      </c>
      <c r="D1207">
        <v>1204</v>
      </c>
    </row>
    <row r="1208" spans="1:4" x14ac:dyDescent="0.25">
      <c r="A1208" t="str">
        <f>T("   300490")</f>
        <v xml:space="preserve">   300490</v>
      </c>
      <c r="B1208" t="s">
        <v>80</v>
      </c>
      <c r="C1208">
        <v>201767450</v>
      </c>
      <c r="D1208">
        <v>11623</v>
      </c>
    </row>
    <row r="1209" spans="1:4" x14ac:dyDescent="0.25">
      <c r="A1209" t="str">
        <f>T("   321519")</f>
        <v xml:space="preserve">   321519</v>
      </c>
      <c r="B1209" t="str">
        <f>T("   Encres d'imprimerie, même concentrées ou sous formes solides (à l'excl. des encres noires)")</f>
        <v xml:space="preserve">   Encres d'imprimerie, même concentrées ou sous formes solides (à l'excl. des encres noires)</v>
      </c>
      <c r="C1209">
        <v>5170676</v>
      </c>
      <c r="D1209">
        <v>1751</v>
      </c>
    </row>
    <row r="1210" spans="1:4" x14ac:dyDescent="0.25">
      <c r="A1210" t="str">
        <f>T("   330290")</f>
        <v xml:space="preserve">   330290</v>
      </c>
      <c r="B1210" t="s">
        <v>100</v>
      </c>
      <c r="C1210">
        <v>3084324</v>
      </c>
      <c r="D1210">
        <v>2150</v>
      </c>
    </row>
    <row r="1211" spans="1:4" x14ac:dyDescent="0.25">
      <c r="A1211" t="str">
        <f>T("   340290")</f>
        <v xml:space="preserve">   340290</v>
      </c>
      <c r="B1211" t="s">
        <v>105</v>
      </c>
      <c r="C1211">
        <v>424275</v>
      </c>
      <c r="D1211">
        <v>248</v>
      </c>
    </row>
    <row r="1212" spans="1:4" x14ac:dyDescent="0.25">
      <c r="A1212" t="str">
        <f>T("   340399")</f>
        <v xml:space="preserve">   340399</v>
      </c>
      <c r="B1212" t="s">
        <v>107</v>
      </c>
      <c r="C1212">
        <v>132832</v>
      </c>
      <c r="D1212">
        <v>73.14</v>
      </c>
    </row>
    <row r="1213" spans="1:4" x14ac:dyDescent="0.25">
      <c r="A1213" t="str">
        <f>T("   370510")</f>
        <v xml:space="preserve">   370510</v>
      </c>
      <c r="B1213" t="str">
        <f>T("   Plaques et pellicules, photographiques, impressionnées et développées, pour la reproduction offset (à l'excl. des plaques prêtes à l'emploi ainsi que des produits en papier, en carton ou en matières textiles)")</f>
        <v xml:space="preserve">   Plaques et pellicules, photographiques, impressionnées et développées, pour la reproduction offset (à l'excl. des plaques prêtes à l'emploi ainsi que des produits en papier, en carton ou en matières textiles)</v>
      </c>
      <c r="C1213">
        <v>23121403</v>
      </c>
      <c r="D1213">
        <v>5597</v>
      </c>
    </row>
    <row r="1214" spans="1:4" x14ac:dyDescent="0.25">
      <c r="A1214" t="str">
        <f>T("   370790")</f>
        <v xml:space="preserve">   370790</v>
      </c>
      <c r="B1214" t="s">
        <v>118</v>
      </c>
      <c r="C1214">
        <v>5682533</v>
      </c>
      <c r="D1214">
        <v>9877.25</v>
      </c>
    </row>
    <row r="1215" spans="1:4" x14ac:dyDescent="0.25">
      <c r="A1215" t="str">
        <f>T("   382490")</f>
        <v xml:space="preserve">   382490</v>
      </c>
      <c r="B1215" t="str">
        <f>T("   Produits chimiques et préparations des industries chimiques ou des industries connexes, y.c. celles consistant en mélanges de produits naturels, n.d.a.")</f>
        <v xml:space="preserve">   Produits chimiques et préparations des industries chimiques ou des industries connexes, y.c. celles consistant en mélanges de produits naturels, n.d.a.</v>
      </c>
      <c r="C1215">
        <v>586887</v>
      </c>
      <c r="D1215">
        <v>88</v>
      </c>
    </row>
    <row r="1216" spans="1:4" x14ac:dyDescent="0.25">
      <c r="A1216" t="str">
        <f>T("   390799")</f>
        <v xml:space="preserve">   390799</v>
      </c>
      <c r="B1216" t="str">
        <f>T("   POLYESTERS, SATURÉS, SOUS FORMES PRIMAIRES (À L'EXCL. DES POLYCARBONATES, DES RÉSINES ALKYDES ET DU POLY[ÉTHYLÈNE TÉRÉPHTALATE]) [01/01/1988-31/12/1993: POLYESTERS ALLYLIQUES ET AUTRES POLYESTERS, SATURÉS, SOUS FORMES PRIMAIRES]")</f>
        <v xml:space="preserve">   POLYESTERS, SATURÉS, SOUS FORMES PRIMAIRES (À L'EXCL. DES POLYCARBONATES, DES RÉSINES ALKYDES ET DU POLY[ÉTHYLÈNE TÉRÉPHTALATE]) [01/01/1988-31/12/1993: POLYESTERS ALLYLIQUES ET AUTRES POLYESTERS, SATURÉS, SOUS FORMES PRIMAIRES]</v>
      </c>
      <c r="C1216">
        <v>73438658</v>
      </c>
      <c r="D1216">
        <v>80000</v>
      </c>
    </row>
    <row r="1217" spans="1:4" x14ac:dyDescent="0.25">
      <c r="A1217" t="str">
        <f>T("   390950")</f>
        <v xml:space="preserve">   390950</v>
      </c>
      <c r="B1217" t="str">
        <f>T("   Polyuréthannes, sous formes primaires")</f>
        <v xml:space="preserve">   Polyuréthannes, sous formes primaires</v>
      </c>
      <c r="C1217">
        <v>79009123</v>
      </c>
      <c r="D1217">
        <v>79728</v>
      </c>
    </row>
    <row r="1218" spans="1:4" x14ac:dyDescent="0.25">
      <c r="A1218" t="str">
        <f>T("   392049")</f>
        <v xml:space="preserve">   392049</v>
      </c>
      <c r="B1218" t="s">
        <v>138</v>
      </c>
      <c r="C1218">
        <v>7236091</v>
      </c>
      <c r="D1218">
        <v>2693</v>
      </c>
    </row>
    <row r="1219" spans="1:4" x14ac:dyDescent="0.25">
      <c r="A1219" t="str">
        <f>T("   392410")</f>
        <v xml:space="preserve">   392410</v>
      </c>
      <c r="B1219" t="str">
        <f>T("   Vaisselle et autres articles pour le service de la table ou de la cuisine, en matières plastiques")</f>
        <v xml:space="preserve">   Vaisselle et autres articles pour le service de la table ou de la cuisine, en matières plastiques</v>
      </c>
      <c r="C1219">
        <v>40000</v>
      </c>
      <c r="D1219">
        <v>141</v>
      </c>
    </row>
    <row r="1220" spans="1:4" x14ac:dyDescent="0.25">
      <c r="A1220" t="str">
        <f>T("   400911")</f>
        <v xml:space="preserve">   400911</v>
      </c>
      <c r="B1220" t="str">
        <f>T("   Tubes et tuyaux en caoutchouc vulcanisé non durci, non renforcés à l'aide d'autres matières ni autrement associés à d'autres matières, sans accessoires")</f>
        <v xml:space="preserve">   Tubes et tuyaux en caoutchouc vulcanisé non durci, non renforcés à l'aide d'autres matières ni autrement associés à d'autres matières, sans accessoires</v>
      </c>
      <c r="C1220">
        <v>681543</v>
      </c>
      <c r="D1220">
        <v>7</v>
      </c>
    </row>
    <row r="1221" spans="1:4" x14ac:dyDescent="0.25">
      <c r="A1221" t="str">
        <f>T("   401110")</f>
        <v xml:space="preserve">   401110</v>
      </c>
      <c r="B1221"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1221">
        <v>145113743</v>
      </c>
      <c r="D1221">
        <v>59780</v>
      </c>
    </row>
    <row r="1222" spans="1:4" x14ac:dyDescent="0.25">
      <c r="A1222" t="str">
        <f>T("   401120")</f>
        <v xml:space="preserve">   401120</v>
      </c>
      <c r="B1222"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1222">
        <v>96636683</v>
      </c>
      <c r="D1222">
        <v>53007</v>
      </c>
    </row>
    <row r="1223" spans="1:4" x14ac:dyDescent="0.25">
      <c r="A1223" t="str">
        <f>T("   401199")</f>
        <v xml:space="preserve">   401199</v>
      </c>
      <c r="B1223" t="s">
        <v>158</v>
      </c>
      <c r="C1223">
        <v>1549718</v>
      </c>
      <c r="D1223">
        <v>597</v>
      </c>
    </row>
    <row r="1224" spans="1:4" x14ac:dyDescent="0.25">
      <c r="A1224" t="str">
        <f>T("   401220")</f>
        <v xml:space="preserve">   401220</v>
      </c>
      <c r="B1224" t="str">
        <f>T("   Pneumatiques usagés, en caoutchouc")</f>
        <v xml:space="preserve">   Pneumatiques usagés, en caoutchouc</v>
      </c>
      <c r="C1224">
        <v>7962698</v>
      </c>
      <c r="D1224">
        <v>19196</v>
      </c>
    </row>
    <row r="1225" spans="1:4" x14ac:dyDescent="0.25">
      <c r="A1225" t="str">
        <f>T("   401590")</f>
        <v xml:space="preserve">   401590</v>
      </c>
      <c r="B1225" t="str">
        <f>T("   Vêtements et accessoires du vêtement en caoutchouc vulcanisé non durci, pour tous usages (à l'excl. des gants, mitaines et moufles, des chaussures ou des coiffures ainsi que des parties de chaussures ou de coiffures)")</f>
        <v xml:space="preserve">   Vêtements et accessoires du vêtement en caoutchouc vulcanisé non durci, pour tous usages (à l'excl. des gants, mitaines et moufles, des chaussures ou des coiffures ainsi que des parties de chaussures ou de coiffures)</v>
      </c>
      <c r="C1225">
        <v>263040</v>
      </c>
      <c r="D1225">
        <v>2</v>
      </c>
    </row>
    <row r="1226" spans="1:4" x14ac:dyDescent="0.25">
      <c r="A1226" t="str">
        <f>T("   401699")</f>
        <v xml:space="preserve">   401699</v>
      </c>
      <c r="B1226" t="str">
        <f>T("   OUVRAGES EN CAOUTCHOUC VULCANISÉ NON-DURCI, N.D.A.")</f>
        <v xml:space="preserve">   OUVRAGES EN CAOUTCHOUC VULCANISÉ NON-DURCI, N.D.A.</v>
      </c>
      <c r="C1226">
        <v>109567</v>
      </c>
      <c r="D1226">
        <v>50</v>
      </c>
    </row>
    <row r="1227" spans="1:4" x14ac:dyDescent="0.25">
      <c r="A1227" t="str">
        <f>T("   420229")</f>
        <v xml:space="preserve">   420229</v>
      </c>
      <c r="B1227"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1227">
        <v>1578955</v>
      </c>
      <c r="D1227">
        <v>2628</v>
      </c>
    </row>
    <row r="1228" spans="1:4" x14ac:dyDescent="0.25">
      <c r="A1228" t="str">
        <f>T("   481930")</f>
        <v xml:space="preserve">   481930</v>
      </c>
      <c r="B1228" t="str">
        <f>T("   Sacs, en papier, carton, ouate de cellulose ou nappes de fibres de cellulose, d'une largeur à la base &gt;= 40 cm")</f>
        <v xml:space="preserve">   Sacs, en papier, carton, ouate de cellulose ou nappes de fibres de cellulose, d'une largeur à la base &gt;= 40 cm</v>
      </c>
      <c r="C1228">
        <v>306756204</v>
      </c>
      <c r="D1228">
        <v>534660</v>
      </c>
    </row>
    <row r="1229" spans="1:4" x14ac:dyDescent="0.25">
      <c r="A1229" t="str">
        <f>T("   482030")</f>
        <v xml:space="preserve">   482030</v>
      </c>
      <c r="B1229" t="str">
        <f>T("   Classeurs, reliures (autres que les couvertures pour livres), chemises et couvertures à dossiers, en papier ou en carton")</f>
        <v xml:space="preserve">   Classeurs, reliures (autres que les couvertures pour livres), chemises et couvertures à dossiers, en papier ou en carton</v>
      </c>
      <c r="C1229">
        <v>298462</v>
      </c>
      <c r="D1229">
        <v>0.5</v>
      </c>
    </row>
    <row r="1230" spans="1:4" x14ac:dyDescent="0.25">
      <c r="A1230" t="str">
        <f>T("   490199")</f>
        <v xml:space="preserve">   490199</v>
      </c>
      <c r="B1230"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1230">
        <v>388748</v>
      </c>
      <c r="D1230">
        <v>89.5</v>
      </c>
    </row>
    <row r="1231" spans="1:4" x14ac:dyDescent="0.25">
      <c r="A1231" t="str">
        <f>T("   491000")</f>
        <v xml:space="preserve">   491000</v>
      </c>
      <c r="B1231" t="str">
        <f>T("   Calendriers de tous genres, imprimés, y.c. les blocs de calendriers à effeuiller")</f>
        <v xml:space="preserve">   Calendriers de tous genres, imprimés, y.c. les blocs de calendriers à effeuiller</v>
      </c>
      <c r="C1231">
        <v>450000</v>
      </c>
      <c r="D1231">
        <v>120</v>
      </c>
    </row>
    <row r="1232" spans="1:4" x14ac:dyDescent="0.25">
      <c r="A1232" t="str">
        <f>T("   491199")</f>
        <v xml:space="preserve">   491199</v>
      </c>
      <c r="B1232" t="str">
        <f>T("   Imprimés, n.d.a.")</f>
        <v xml:space="preserve">   Imprimés, n.d.a.</v>
      </c>
      <c r="C1232">
        <v>324044</v>
      </c>
      <c r="D1232">
        <v>7</v>
      </c>
    </row>
    <row r="1233" spans="1:4" x14ac:dyDescent="0.25">
      <c r="A1233" t="str">
        <f>T("   610342")</f>
        <v xml:space="preserve">   610342</v>
      </c>
      <c r="B1233" t="str">
        <f>T("   PANTALONS, Y.C. KNICKERS ET PANTALONS SIMIL., SALOPETTES À BRETELLES, CULOTTES ET SHORTS, EN BONNETERIE, DE COTON, POUR HOMMES OU GARÇONNETS (SAUF CALETHONS ET SLIPS DE BAIN)")</f>
        <v xml:space="preserve">   PANTALONS, Y.C. KNICKERS ET PANTALONS SIMIL., SALOPETTES À BRETELLES, CULOTTES ET SHORTS, EN BONNETERIE, DE COTON, POUR HOMMES OU GARÇONNETS (SAUF CALETHONS ET SLIPS DE BAIN)</v>
      </c>
      <c r="C1233">
        <v>557054</v>
      </c>
      <c r="D1233">
        <v>276</v>
      </c>
    </row>
    <row r="1234" spans="1:4" x14ac:dyDescent="0.25">
      <c r="A1234" t="str">
        <f>T("   610452")</f>
        <v xml:space="preserve">   610452</v>
      </c>
      <c r="B1234" t="str">
        <f>T("   Jupes et jupes-culottes, en bonneterie, de coton, pour femmes ou fillettes (sauf jupons)")</f>
        <v xml:space="preserve">   Jupes et jupes-culottes, en bonneterie, de coton, pour femmes ou fillettes (sauf jupons)</v>
      </c>
      <c r="C1234">
        <v>238737</v>
      </c>
      <c r="D1234">
        <v>126</v>
      </c>
    </row>
    <row r="1235" spans="1:4" x14ac:dyDescent="0.25">
      <c r="A1235" t="str">
        <f>T("   610910")</f>
        <v xml:space="preserve">   610910</v>
      </c>
      <c r="B1235" t="str">
        <f>T("   T-shirts et maillots de corps, en bonneterie, de coton,")</f>
        <v xml:space="preserve">   T-shirts et maillots de corps, en bonneterie, de coton,</v>
      </c>
      <c r="C1235">
        <v>2128760</v>
      </c>
      <c r="D1235">
        <v>986</v>
      </c>
    </row>
    <row r="1236" spans="1:4" x14ac:dyDescent="0.25">
      <c r="A1236" t="str">
        <f>T("   621040")</f>
        <v xml:space="preserve">   621040</v>
      </c>
      <c r="B1236" t="s">
        <v>271</v>
      </c>
      <c r="C1236">
        <v>682243</v>
      </c>
      <c r="D1236">
        <v>548</v>
      </c>
    </row>
    <row r="1237" spans="1:4" x14ac:dyDescent="0.25">
      <c r="A1237" t="str">
        <f>T("   621139")</f>
        <v xml:space="preserve">   621139</v>
      </c>
      <c r="B1237" t="str">
        <f>T("   Survêtements de sport 'trainings' et autres vêtements n.d.a., de matières textiles, pour hommes ou garçonnets (autres que de laine, poils fins, coton, fibres synthétiques ou artificielles, autres qu'en bonneterie)")</f>
        <v xml:space="preserve">   Survêtements de sport 'trainings' et autres vêtements n.d.a., de matières textiles, pour hommes ou garçonnets (autres que de laine, poils fins, coton, fibres synthétiques ou artificielles, autres qu'en bonneterie)</v>
      </c>
      <c r="C1237">
        <v>20000</v>
      </c>
      <c r="D1237">
        <v>1000</v>
      </c>
    </row>
    <row r="1238" spans="1:4" x14ac:dyDescent="0.25">
      <c r="A1238" t="str">
        <f>T("   621210")</f>
        <v xml:space="preserve">   621210</v>
      </c>
      <c r="B1238" t="str">
        <f>T("   Soutiens-gorge et bustiers en tous types de matières textiles, même élastiques et même en bonneterie")</f>
        <v xml:space="preserve">   Soutiens-gorge et bustiers en tous types de matières textiles, même élastiques et même en bonneterie</v>
      </c>
      <c r="C1238">
        <v>14518073</v>
      </c>
      <c r="D1238">
        <v>5700</v>
      </c>
    </row>
    <row r="1239" spans="1:4" x14ac:dyDescent="0.25">
      <c r="A1239" t="str">
        <f>T("   630190")</f>
        <v xml:space="preserve">   630190</v>
      </c>
      <c r="B1239" t="s">
        <v>274</v>
      </c>
      <c r="C1239">
        <v>712031</v>
      </c>
      <c r="D1239">
        <v>600</v>
      </c>
    </row>
    <row r="1240" spans="1:4" x14ac:dyDescent="0.25">
      <c r="A1240" t="str">
        <f>T("   630229")</f>
        <v xml:space="preserve">   630229</v>
      </c>
      <c r="B1240" t="str">
        <f>T("   Linge de lit, de matières textiles, imprimé (autre que de coton, fibres synthétiques ou artificielles, autres qu'en bonneterie)")</f>
        <v xml:space="preserve">   Linge de lit, de matières textiles, imprimé (autre que de coton, fibres synthétiques ou artificielles, autres qu'en bonneterie)</v>
      </c>
      <c r="C1240">
        <v>2549663</v>
      </c>
      <c r="D1240">
        <v>584</v>
      </c>
    </row>
    <row r="1241" spans="1:4" x14ac:dyDescent="0.25">
      <c r="A1241" t="str">
        <f>T("   630533")</f>
        <v xml:space="preserve">   630533</v>
      </c>
      <c r="B1241" t="str">
        <f>T("   Sacs et sachets d'emballage obtenus à partir de lames ou formes simil., de polyéthylène ou polypropylène (à l'excl. des contenants souples pour matières en vrac)")</f>
        <v xml:space="preserve">   Sacs et sachets d'emballage obtenus à partir de lames ou formes simil., de polyéthylène ou polypropylène (à l'excl. des contenants souples pour matières en vrac)</v>
      </c>
      <c r="C1241">
        <v>1923669</v>
      </c>
      <c r="D1241">
        <v>2404</v>
      </c>
    </row>
    <row r="1242" spans="1:4" x14ac:dyDescent="0.25">
      <c r="A1242" t="str">
        <f>T("   630900")</f>
        <v xml:space="preserve">   630900</v>
      </c>
      <c r="B1242" t="s">
        <v>278</v>
      </c>
      <c r="C1242">
        <v>2457838</v>
      </c>
      <c r="D1242">
        <v>3240</v>
      </c>
    </row>
    <row r="1243" spans="1:4" x14ac:dyDescent="0.25">
      <c r="A1243" t="str">
        <f>T("   640419")</f>
        <v xml:space="preserve">   640419</v>
      </c>
      <c r="B1243" t="s">
        <v>288</v>
      </c>
      <c r="C1243">
        <v>994744</v>
      </c>
      <c r="D1243">
        <v>116</v>
      </c>
    </row>
    <row r="1244" spans="1:4" x14ac:dyDescent="0.25">
      <c r="A1244" t="str">
        <f>T("   640590")</f>
        <v xml:space="preserve">   640590</v>
      </c>
      <c r="B1244" t="s">
        <v>289</v>
      </c>
      <c r="C1244">
        <v>8383000</v>
      </c>
      <c r="D1244">
        <v>31000</v>
      </c>
    </row>
    <row r="1245" spans="1:4" x14ac:dyDescent="0.25">
      <c r="A1245" t="str">
        <f>T("   691090")</f>
        <v xml:space="preserve">   691090</v>
      </c>
      <c r="B1245" t="s">
        <v>313</v>
      </c>
      <c r="C1245">
        <v>350283</v>
      </c>
      <c r="D1245">
        <v>667</v>
      </c>
    </row>
    <row r="1246" spans="1:4" x14ac:dyDescent="0.25">
      <c r="A1246" t="str">
        <f>T("   721391")</f>
        <v xml:space="preserve">   721391</v>
      </c>
      <c r="B1246"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1246">
        <v>1749485584</v>
      </c>
      <c r="D1246">
        <v>5689950</v>
      </c>
    </row>
    <row r="1247" spans="1:4" x14ac:dyDescent="0.25">
      <c r="A1247" t="str">
        <f>T("   721420")</f>
        <v xml:space="preserve">   721420</v>
      </c>
      <c r="B1247" t="str">
        <f>T("   BARRES EN FER OU EN ACIERS NON ALLIÉS, COMPORTANT DES INDENTATIONS, BOURRELETS, CREUX OU RELIEFS OBTENUS AU COURS DU LAMINAGE OU AYANT SUBI UNE TORSION APRÈS LAMINAGE")</f>
        <v xml:space="preserve">   BARRES EN FER OU EN ACIERS NON ALLIÉS, COMPORTANT DES INDENTATIONS, BOURRELETS, CREUX OU RELIEFS OBTENUS AU COURS DU LAMINAGE OU AYANT SUBI UNE TORSION APRÈS LAMINAGE</v>
      </c>
      <c r="C1247">
        <v>188920424</v>
      </c>
      <c r="D1247">
        <v>389680</v>
      </c>
    </row>
    <row r="1248" spans="1:4" x14ac:dyDescent="0.25">
      <c r="A1248" t="str">
        <f>T("   721990")</f>
        <v xml:space="preserve">   721990</v>
      </c>
      <c r="B1248" t="str">
        <f>T("   Produits laminés plats, en aciers inoxydables, d'une largeur &gt;= 600 mm, laminés à chaud ou à froid et ayant subi certaines ouvraisons plus poussées")</f>
        <v xml:space="preserve">   Produits laminés plats, en aciers inoxydables, d'une largeur &gt;= 600 mm, laminés à chaud ou à froid et ayant subi certaines ouvraisons plus poussées</v>
      </c>
      <c r="C1248">
        <v>1367603</v>
      </c>
      <c r="D1248">
        <v>40</v>
      </c>
    </row>
    <row r="1249" spans="1:4" x14ac:dyDescent="0.25">
      <c r="A1249" t="str">
        <f>T("   722790")</f>
        <v xml:space="preserve">   722790</v>
      </c>
      <c r="B1249" t="str">
        <f>T("   FIL MACHINE EN ACIERS ALLIÉS AUTRES QU'ACIERS INOXYDABLES, ENROULÉ IRRÉGULIÈREMENT EN COURONNE (SAUF EN ACIERS À COUPE RAPIDE OU ACIERS SILICOMANGANEUX)")</f>
        <v xml:space="preserve">   FIL MACHINE EN ACIERS ALLIÉS AUTRES QU'ACIERS INOXYDABLES, ENROULÉ IRRÉGULIÈREMENT EN COURONNE (SAUF EN ACIERS À COUPE RAPIDE OU ACIERS SILICOMANGANEUX)</v>
      </c>
      <c r="C1249">
        <v>1933275486</v>
      </c>
      <c r="D1249">
        <v>5074460</v>
      </c>
    </row>
    <row r="1250" spans="1:4" x14ac:dyDescent="0.25">
      <c r="A1250" t="str">
        <f>T("   730449")</f>
        <v xml:space="preserve">   730449</v>
      </c>
      <c r="B1250" t="str">
        <f>T("   TUBES, TUYAUX ET PROFILÉS CREUX, SANS SOUDURE, DE SECTION CIRCULAIRE, EN ACIERS INOXYDABLES, NON-ÉTIRÉS OU LAMINÉS À FROID (AUTRES QUE LES TUBES DES TYPES UTILISÉS POUR LES OLÉODUCS OU LES GAZODUCS OU POUR L'EXTRACTION DU PÉTROLE OU DU GAZ)")</f>
        <v xml:space="preserve">   TUBES, TUYAUX ET PROFILÉS CREUX, SANS SOUDURE, DE SECTION CIRCULAIRE, EN ACIERS INOXYDABLES, NON-ÉTIRÉS OU LAMINÉS À FROID (AUTRES QUE LES TUBES DES TYPES UTILISÉS POUR LES OLÉODUCS OU LES GAZODUCS OU POUR L'EXTRACTION DU PÉTROLE OU DU GAZ)</v>
      </c>
      <c r="C1250">
        <v>37567787</v>
      </c>
      <c r="D1250">
        <v>57902</v>
      </c>
    </row>
    <row r="1251" spans="1:4" x14ac:dyDescent="0.25">
      <c r="A1251" t="str">
        <f>T("   730791")</f>
        <v xml:space="preserve">   730791</v>
      </c>
      <c r="B1251" t="str">
        <f>T("   Brides en fer ou aciers (autres que moulés ou en acier inoxydable)")</f>
        <v xml:space="preserve">   Brides en fer ou aciers (autres que moulés ou en acier inoxydable)</v>
      </c>
      <c r="C1251">
        <v>1339720</v>
      </c>
      <c r="D1251">
        <v>1000</v>
      </c>
    </row>
    <row r="1252" spans="1:4" x14ac:dyDescent="0.25">
      <c r="A1252" t="str">
        <f>T("   730792")</f>
        <v xml:space="preserve">   730792</v>
      </c>
      <c r="B1252" t="str">
        <f>T("   Coudes, courbes et manchons en fer ou en aciers, filetés (autres que moulés ou en aciers inoxydables)")</f>
        <v xml:space="preserve">   Coudes, courbes et manchons en fer ou en aciers, filetés (autres que moulés ou en aciers inoxydables)</v>
      </c>
      <c r="C1252">
        <v>11250456</v>
      </c>
      <c r="D1252">
        <v>3120</v>
      </c>
    </row>
    <row r="1253" spans="1:4" x14ac:dyDescent="0.25">
      <c r="A1253" t="str">
        <f>T("   731815")</f>
        <v xml:space="preserve">   731815</v>
      </c>
      <c r="B1253" t="s">
        <v>359</v>
      </c>
      <c r="C1253">
        <v>311332</v>
      </c>
      <c r="D1253">
        <v>2000</v>
      </c>
    </row>
    <row r="1254" spans="1:4" x14ac:dyDescent="0.25">
      <c r="A1254" t="str">
        <f>T("   731824")</f>
        <v xml:space="preserve">   731824</v>
      </c>
      <c r="B1254" t="str">
        <f>T("   Goupilles, chevilles et clavettes en fonte, fer ou acier")</f>
        <v xml:space="preserve">   Goupilles, chevilles et clavettes en fonte, fer ou acier</v>
      </c>
      <c r="C1254">
        <v>191524</v>
      </c>
      <c r="D1254">
        <v>62.24</v>
      </c>
    </row>
    <row r="1255" spans="1:4" x14ac:dyDescent="0.25">
      <c r="A1255" t="str">
        <f>T("   731829")</f>
        <v xml:space="preserve">   731829</v>
      </c>
      <c r="B1255" t="str">
        <f>T("   Articles de boulonnerie et de visserie non filetés, en fonte, fer ou acier, n.d.a.")</f>
        <v xml:space="preserve">   Articles de boulonnerie et de visserie non filetés, en fonte, fer ou acier, n.d.a.</v>
      </c>
      <c r="C1255">
        <v>680230</v>
      </c>
      <c r="D1255">
        <v>10</v>
      </c>
    </row>
    <row r="1256" spans="1:4" x14ac:dyDescent="0.25">
      <c r="A1256" t="str">
        <f>T("   732394")</f>
        <v xml:space="preserve">   732394</v>
      </c>
      <c r="B1256" t="s">
        <v>367</v>
      </c>
      <c r="C1256">
        <v>417750</v>
      </c>
      <c r="D1256">
        <v>118</v>
      </c>
    </row>
    <row r="1257" spans="1:4" x14ac:dyDescent="0.25">
      <c r="A1257" t="str">
        <f>T("   732399")</f>
        <v xml:space="preserve">   732399</v>
      </c>
      <c r="B1257" t="s">
        <v>368</v>
      </c>
      <c r="C1257">
        <v>340188</v>
      </c>
      <c r="D1257">
        <v>3957</v>
      </c>
    </row>
    <row r="1258" spans="1:4" x14ac:dyDescent="0.25">
      <c r="A1258" t="str">
        <f>T("   820190")</f>
        <v xml:space="preserve">   820190</v>
      </c>
      <c r="B1258" t="s">
        <v>375</v>
      </c>
      <c r="C1258">
        <v>120000</v>
      </c>
      <c r="D1258">
        <v>80</v>
      </c>
    </row>
    <row r="1259" spans="1:4" x14ac:dyDescent="0.25">
      <c r="A1259" t="str">
        <f>T("   820420")</f>
        <v xml:space="preserve">   820420</v>
      </c>
      <c r="B1259" t="str">
        <f>T("   Douilles de serrage interchangeables, même avec manches, en métaux communs")</f>
        <v xml:space="preserve">   Douilles de serrage interchangeables, même avec manches, en métaux communs</v>
      </c>
      <c r="C1259">
        <v>3089559</v>
      </c>
      <c r="D1259">
        <v>55</v>
      </c>
    </row>
    <row r="1260" spans="1:4" x14ac:dyDescent="0.25">
      <c r="A1260" t="str">
        <f>T("   820750")</f>
        <v xml:space="preserve">   820750</v>
      </c>
      <c r="B1260" t="str">
        <f>T("   OUTILS INTERCHANGEABLES À PERCER (À L'EXCL. DES OUTILS DE FORAGE OU DE SONDAGE ET DES OUTILS À TARAUDER) [01/01/1988-31/12/1993: OUTILS INTERCHANGEABLES (SAUF OUTILS DE FORAGE OU DE SONDAGE ET SAUF OUTILS A TARAUDER OU A FILETER)]")</f>
        <v xml:space="preserve">   OUTILS INTERCHANGEABLES À PERCER (À L'EXCL. DES OUTILS DE FORAGE OU DE SONDAGE ET DES OUTILS À TARAUDER) [01/01/1988-31/12/1993: OUTILS INTERCHANGEABLES (SAUF OUTILS DE FORAGE OU DE SONDAGE ET SAUF OUTILS A TARAUDER OU A FILETER)]</v>
      </c>
      <c r="C1260">
        <v>1009128</v>
      </c>
      <c r="D1260">
        <v>16.27</v>
      </c>
    </row>
    <row r="1261" spans="1:4" x14ac:dyDescent="0.25">
      <c r="A1261" t="str">
        <f>T("   830140")</f>
        <v xml:space="preserve">   830140</v>
      </c>
      <c r="B1261" t="str">
        <f>T("   Serrures et verrous, en métaux communs (autres que cadenas et serrures des types utilisés pour véhicules automobiles ou meubles)")</f>
        <v xml:space="preserve">   Serrures et verrous, en métaux communs (autres que cadenas et serrures des types utilisés pour véhicules automobiles ou meubles)</v>
      </c>
      <c r="C1261">
        <v>1376860</v>
      </c>
      <c r="D1261">
        <v>28</v>
      </c>
    </row>
    <row r="1262" spans="1:4" x14ac:dyDescent="0.25">
      <c r="A1262" t="str">
        <f>T("   841381")</f>
        <v xml:space="preserve">   841381</v>
      </c>
      <c r="B1262" t="s">
        <v>397</v>
      </c>
      <c r="C1262">
        <v>1243700</v>
      </c>
      <c r="D1262">
        <v>13</v>
      </c>
    </row>
    <row r="1263" spans="1:4" x14ac:dyDescent="0.25">
      <c r="A1263" t="str">
        <f>T("   841391")</f>
        <v xml:space="preserve">   841391</v>
      </c>
      <c r="B1263" t="str">
        <f>T("   Parties de pompes pour liquides, n.d.a.")</f>
        <v xml:space="preserve">   Parties de pompes pour liquides, n.d.a.</v>
      </c>
      <c r="C1263">
        <v>1593327</v>
      </c>
      <c r="D1263">
        <v>3</v>
      </c>
    </row>
    <row r="1264" spans="1:4" x14ac:dyDescent="0.25">
      <c r="A1264" t="str">
        <f>T("   841430")</f>
        <v xml:space="preserve">   841430</v>
      </c>
      <c r="B1264" t="str">
        <f>T("   Compresseurs des types utilisés pour équipements frigorifiques")</f>
        <v xml:space="preserve">   Compresseurs des types utilisés pour équipements frigorifiques</v>
      </c>
      <c r="C1264">
        <v>1453607</v>
      </c>
      <c r="D1264">
        <v>1000</v>
      </c>
    </row>
    <row r="1265" spans="1:4" x14ac:dyDescent="0.25">
      <c r="A1265" t="str">
        <f>T("   841829")</f>
        <v xml:space="preserve">   841829</v>
      </c>
      <c r="B1265" t="str">
        <f>T("   Réfrigérateurs ménagers à absorption, non-électriques")</f>
        <v xml:space="preserve">   Réfrigérateurs ménagers à absorption, non-électriques</v>
      </c>
      <c r="C1265">
        <v>600204</v>
      </c>
      <c r="D1265">
        <v>646</v>
      </c>
    </row>
    <row r="1266" spans="1:4" x14ac:dyDescent="0.25">
      <c r="A1266" t="str">
        <f>T("   841850")</f>
        <v xml:space="preserve">   841850</v>
      </c>
      <c r="B1266" t="s">
        <v>404</v>
      </c>
      <c r="C1266">
        <v>56657233</v>
      </c>
      <c r="D1266">
        <v>20414</v>
      </c>
    </row>
    <row r="1267" spans="1:4" x14ac:dyDescent="0.25">
      <c r="A1267" t="str">
        <f>T("   841899")</f>
        <v xml:space="preserve">   841899</v>
      </c>
      <c r="B1267" t="str">
        <f>T("   Parties de réfrigérateurs et de congélateurs-conservateurs du type armoire et du type coffre et d'autres matériel, machines et appareils pour la production du froid, parties de pompes à chaleur, n.d.a.")</f>
        <v xml:space="preserve">   Parties de réfrigérateurs et de congélateurs-conservateurs du type armoire et du type coffre et d'autres matériel, machines et appareils pour la production du froid, parties de pompes à chaleur, n.d.a.</v>
      </c>
      <c r="C1267">
        <v>113481</v>
      </c>
      <c r="D1267">
        <v>41</v>
      </c>
    </row>
    <row r="1268" spans="1:4" x14ac:dyDescent="0.25">
      <c r="A1268" t="str">
        <f>T("   841990")</f>
        <v xml:space="preserve">   841990</v>
      </c>
      <c r="B1268" t="str">
        <f>T("   Parties d'appareils et dispositifs, même chauffés électriquement, pour le traitement de matières par des opérations impliquant un changement de température, ainsi que de chauffe-eau non-électriques à chauffage instantané ou à accumulation, n.d.a.")</f>
        <v xml:space="preserve">   Parties d'appareils et dispositifs, même chauffés électriquement, pour le traitement de matières par des opérations impliquant un changement de température, ainsi que de chauffe-eau non-électriques à chauffage instantané ou à accumulation, n.d.a.</v>
      </c>
      <c r="C1268">
        <v>7527797</v>
      </c>
      <c r="D1268">
        <v>60</v>
      </c>
    </row>
    <row r="1269" spans="1:4" x14ac:dyDescent="0.25">
      <c r="A1269" t="str">
        <f>T("   842139")</f>
        <v xml:space="preserve">   842139</v>
      </c>
      <c r="B1269" t="str">
        <f>T("   Appareils pour la filtration ou l'épuration des gaz (autres que pour la séparation isotopique et sauf les filtres d'entrée d'air pour moteurs à allumage par étincelles ou par compression)")</f>
        <v xml:space="preserve">   Appareils pour la filtration ou l'épuration des gaz (autres que pour la séparation isotopique et sauf les filtres d'entrée d'air pour moteurs à allumage par étincelles ou par compression)</v>
      </c>
      <c r="C1269">
        <v>3222731</v>
      </c>
      <c r="D1269">
        <v>11</v>
      </c>
    </row>
    <row r="1270" spans="1:4" x14ac:dyDescent="0.25">
      <c r="A1270" t="str">
        <f>T("   842230")</f>
        <v xml:space="preserve">   842230</v>
      </c>
      <c r="B1270" t="str">
        <f>T("   Machines et appareils à remplir, fermer, boucher ou étiqueter les bouteilles, boîtes, sacs ou autres contenants; machines et appareils à capsuler les bouteilles, pots, tubes et contenants analogues; appareils à gazéifier les boissons")</f>
        <v xml:space="preserve">   Machines et appareils à remplir, fermer, boucher ou étiqueter les bouteilles, boîtes, sacs ou autres contenants; machines et appareils à capsuler les bouteilles, pots, tubes et contenants analogues; appareils à gazéifier les boissons</v>
      </c>
      <c r="C1270">
        <v>238864</v>
      </c>
      <c r="D1270">
        <v>630</v>
      </c>
    </row>
    <row r="1271" spans="1:4" x14ac:dyDescent="0.25">
      <c r="A1271" t="str">
        <f>T("   842290")</f>
        <v xml:space="preserve">   842290</v>
      </c>
      <c r="B1271" t="str">
        <f>T("   Parties des machines à laver la vaisselle, des machines à empaqueter ou à emballer les marchandises et autres machines et appareils du n° 8422, n.d.a.")</f>
        <v xml:space="preserve">   Parties des machines à laver la vaisselle, des machines à empaqueter ou à emballer les marchandises et autres machines et appareils du n° 8422, n.d.a.</v>
      </c>
      <c r="C1271">
        <v>1428025</v>
      </c>
      <c r="D1271">
        <v>4</v>
      </c>
    </row>
    <row r="1272" spans="1:4" x14ac:dyDescent="0.25">
      <c r="A1272" t="str">
        <f>T("   842490")</f>
        <v xml:space="preserve">   842490</v>
      </c>
      <c r="B1272" t="s">
        <v>410</v>
      </c>
      <c r="C1272">
        <v>1052160</v>
      </c>
      <c r="D1272">
        <v>1</v>
      </c>
    </row>
    <row r="1273" spans="1:4" x14ac:dyDescent="0.25">
      <c r="A1273" t="str">
        <f>T("   842959")</f>
        <v xml:space="preserve">   842959</v>
      </c>
      <c r="B1273"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1273">
        <v>6000066</v>
      </c>
      <c r="D1273">
        <v>21000</v>
      </c>
    </row>
    <row r="1274" spans="1:4" x14ac:dyDescent="0.25">
      <c r="A1274" t="str">
        <f>T("   843061")</f>
        <v xml:space="preserve">   843061</v>
      </c>
      <c r="B1274" t="str">
        <f>T("   Machines et appareils à tasser ou à compacter, non autopropulsés (sauf outillage pour emploi à la main)")</f>
        <v xml:space="preserve">   Machines et appareils à tasser ou à compacter, non autopropulsés (sauf outillage pour emploi à la main)</v>
      </c>
      <c r="C1274">
        <v>1150000</v>
      </c>
      <c r="D1274">
        <v>2700</v>
      </c>
    </row>
    <row r="1275" spans="1:4" x14ac:dyDescent="0.25">
      <c r="A1275" t="str">
        <f>T("   843149")</f>
        <v xml:space="preserve">   843149</v>
      </c>
      <c r="B1275" t="str">
        <f>T("   Parties de machines et appareils du n° 8426, 8429 ou 8430, n.d.a.")</f>
        <v xml:space="preserve">   Parties de machines et appareils du n° 8426, 8429 ou 8430, n.d.a.</v>
      </c>
      <c r="C1275">
        <v>1052816</v>
      </c>
      <c r="D1275">
        <v>240</v>
      </c>
    </row>
    <row r="1276" spans="1:4" x14ac:dyDescent="0.25">
      <c r="A1276" t="str">
        <f>T("   843790")</f>
        <v xml:space="preserve">   843790</v>
      </c>
      <c r="B1276" t="str">
        <f>T("   Parties de machines et appareils de minoterie ou pour le traitement des céréales ou légumes secs ou pour le nettoyage, le triage ou le criblage des grains ou des légumes secs, n.d.a.")</f>
        <v xml:space="preserve">   Parties de machines et appareils de minoterie ou pour le traitement des céréales ou légumes secs ou pour le nettoyage, le triage ou le criblage des grains ou des légumes secs, n.d.a.</v>
      </c>
      <c r="C1276">
        <v>5890088</v>
      </c>
      <c r="D1276">
        <v>75</v>
      </c>
    </row>
    <row r="1277" spans="1:4" x14ac:dyDescent="0.25">
      <c r="A1277" t="str">
        <f>T("   843890")</f>
        <v xml:space="preserve">   843890</v>
      </c>
      <c r="B1277" t="str">
        <f>T("   Parties des machines et appareils pour le traitement, la préparation ou la fabrication industriels d'aliments ou de boissons, n.d.a.")</f>
        <v xml:space="preserve">   Parties des machines et appareils pour le traitement, la préparation ou la fabrication industriels d'aliments ou de boissons, n.d.a.</v>
      </c>
      <c r="C1277">
        <v>39705258</v>
      </c>
      <c r="D1277">
        <v>2123</v>
      </c>
    </row>
    <row r="1278" spans="1:4" x14ac:dyDescent="0.25">
      <c r="A1278" t="str">
        <f>T("   844240")</f>
        <v xml:space="preserve">   844240</v>
      </c>
      <c r="B1278" t="str">
        <f>T("   Parties de machines, appareils ou matériel à fondre ou à composer les caractères ou pour la préparation ou la fabrication de clichés, planches, cylindres ou autres organes imprimants, n.d.a.")</f>
        <v xml:space="preserve">   Parties de machines, appareils ou matériel à fondre ou à composer les caractères ou pour la préparation ou la fabrication de clichés, planches, cylindres ou autres organes imprimants, n.d.a.</v>
      </c>
      <c r="C1278">
        <v>3434699</v>
      </c>
      <c r="D1278">
        <v>190</v>
      </c>
    </row>
    <row r="1279" spans="1:4" x14ac:dyDescent="0.25">
      <c r="A1279" t="str">
        <f>T("   844319")</f>
        <v xml:space="preserve">   844319</v>
      </c>
      <c r="B1279" t="s">
        <v>423</v>
      </c>
      <c r="C1279">
        <v>1311920</v>
      </c>
      <c r="D1279">
        <v>3500</v>
      </c>
    </row>
    <row r="1280" spans="1:4" x14ac:dyDescent="0.25">
      <c r="A1280" t="str">
        <f>T("   844390")</f>
        <v xml:space="preserve">   844390</v>
      </c>
      <c r="B1280" t="str">
        <f>T("   Parties de machines et appareils à imprimer et de leur machines et appareils auxiliaires, n.d.a.")</f>
        <v xml:space="preserve">   Parties de machines et appareils à imprimer et de leur machines et appareils auxiliaires, n.d.a.</v>
      </c>
      <c r="C1280">
        <v>2457731</v>
      </c>
      <c r="D1280">
        <v>407.61</v>
      </c>
    </row>
    <row r="1281" spans="1:4" x14ac:dyDescent="0.25">
      <c r="A1281" t="str">
        <f>T("   846719")</f>
        <v xml:space="preserve">   846719</v>
      </c>
      <c r="B1281" t="str">
        <f>T("   OUTILS PNEUMATIQUES, POUR EMPLOI À LA MAIN (À L'EXCL. DES OUTILS ROTATIFS) [01/01/1988-31/12/1994: OUTILS PNEUMATIQUES POUR EMPLOI A LA MAIN, AUTRES QUE ROTATIFS]")</f>
        <v xml:space="preserve">   OUTILS PNEUMATIQUES, POUR EMPLOI À LA MAIN (À L'EXCL. DES OUTILS ROTATIFS) [01/01/1988-31/12/1994: OUTILS PNEUMATIQUES POUR EMPLOI A LA MAIN, AUTRES QUE ROTATIFS]</v>
      </c>
      <c r="C1281">
        <v>805879</v>
      </c>
      <c r="D1281">
        <v>46.16</v>
      </c>
    </row>
    <row r="1282" spans="1:4" x14ac:dyDescent="0.25">
      <c r="A1282" t="str">
        <f>T("   846789")</f>
        <v xml:space="preserve">   846789</v>
      </c>
      <c r="B1282" t="str">
        <f>T("   Outils pour emploi à la main, hydrauliques ou à moteur non électrique incorporé (sauf tronçonneuses à chaîne et outils pneumatiques)")</f>
        <v xml:space="preserve">   Outils pour emploi à la main, hydrauliques ou à moteur non électrique incorporé (sauf tronçonneuses à chaîne et outils pneumatiques)</v>
      </c>
      <c r="C1282">
        <v>1447450</v>
      </c>
      <c r="D1282">
        <v>42.06</v>
      </c>
    </row>
    <row r="1283" spans="1:4" x14ac:dyDescent="0.25">
      <c r="A1283" t="str">
        <f>T("   847130")</f>
        <v xml:space="preserve">   847130</v>
      </c>
      <c r="B1283" t="str">
        <f>T("   Machines automatiques de traitement de l'information numériques, portatives, d'un poids &lt;= 10 kg, comportant au moins une unité centrale de traitement, un clavier et un écran (à l'excl. des unités périphériques)")</f>
        <v xml:space="preserve">   Machines automatiques de traitement de l'information numériques, portatives, d'un poids &lt;= 10 kg, comportant au moins une unité centrale de traitement, un clavier et un écran (à l'excl. des unités périphériques)</v>
      </c>
      <c r="C1283">
        <v>906000</v>
      </c>
      <c r="D1283">
        <v>5000</v>
      </c>
    </row>
    <row r="1284" spans="1:4" x14ac:dyDescent="0.25">
      <c r="A1284" t="str">
        <f>T("   847160")</f>
        <v xml:space="preserve">   847160</v>
      </c>
      <c r="B1284" t="str">
        <f>T("   UNITÉS D'ENTRÉE OU DE SORTIE POUR MACHINES AUTOMATIQUES DE TRAITEMENT DE L'INFORMATION, POUVANT COMPORTER, SOUS LA MÊME ENVELOPPE, DES UNITÉS DE MÉMOIRE")</f>
        <v xml:space="preserve">   UNITÉS D'ENTRÉE OU DE SORTIE POUR MACHINES AUTOMATIQUES DE TRAITEMENT DE L'INFORMATION, POUVANT COMPORTER, SOUS LA MÊME ENVELOPPE, DES UNITÉS DE MÉMOIRE</v>
      </c>
      <c r="C1284">
        <v>459172</v>
      </c>
      <c r="D1284">
        <v>12</v>
      </c>
    </row>
    <row r="1285" spans="1:4" x14ac:dyDescent="0.25">
      <c r="A1285" t="str">
        <f>T("   847180")</f>
        <v xml:space="preserve">   847180</v>
      </c>
      <c r="B1285"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1285">
        <v>213187</v>
      </c>
      <c r="D1285">
        <v>230</v>
      </c>
    </row>
    <row r="1286" spans="1:4" x14ac:dyDescent="0.25">
      <c r="A1286" t="str">
        <f>T("   847190")</f>
        <v xml:space="preserve">   847190</v>
      </c>
      <c r="B1286"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1286">
        <v>3878076</v>
      </c>
      <c r="D1286">
        <v>21</v>
      </c>
    </row>
    <row r="1287" spans="1:4" x14ac:dyDescent="0.25">
      <c r="A1287" t="str">
        <f>T("   847780")</f>
        <v xml:space="preserve">   847780</v>
      </c>
      <c r="B1287" t="str">
        <f>T("   MACHINES ET APPAREILS POUR LE TRAVAIL DU CAOUTCHOUC OU DES MATIÈRES PLASTIQUES OU POUR LA FABRICATION DE PRODUITS EN CES MATIÈRES N.D.A. DANS LE CHAPITRE 84")</f>
        <v xml:space="preserve">   MACHINES ET APPAREILS POUR LE TRAVAIL DU CAOUTCHOUC OU DES MATIÈRES PLASTIQUES OU POUR LA FABRICATION DE PRODUITS EN CES MATIÈRES N.D.A. DANS LE CHAPITRE 84</v>
      </c>
      <c r="C1287">
        <v>65703577</v>
      </c>
      <c r="D1287">
        <v>4869</v>
      </c>
    </row>
    <row r="1288" spans="1:4" x14ac:dyDescent="0.25">
      <c r="A1288" t="str">
        <f>T("   848130")</f>
        <v xml:space="preserve">   848130</v>
      </c>
      <c r="B1288" t="str">
        <f>T("   Clapets et soupapes de retenue, pour tuyauteries, chaudières, réservoirs, cuves ou contenants simil.")</f>
        <v xml:space="preserve">   Clapets et soupapes de retenue, pour tuyauteries, chaudières, réservoirs, cuves ou contenants simil.</v>
      </c>
      <c r="C1288">
        <v>1285026</v>
      </c>
      <c r="D1288">
        <v>66</v>
      </c>
    </row>
    <row r="1289" spans="1:4" x14ac:dyDescent="0.25">
      <c r="A1289" t="str">
        <f>T("   848180")</f>
        <v xml:space="preserve">   848180</v>
      </c>
      <c r="B1289"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1289">
        <v>8707212</v>
      </c>
      <c r="D1289">
        <v>37</v>
      </c>
    </row>
    <row r="1290" spans="1:4" x14ac:dyDescent="0.25">
      <c r="A1290" t="str">
        <f>T("   848190")</f>
        <v xml:space="preserve">   848190</v>
      </c>
      <c r="B1290" t="str">
        <f>T("   Parties d'articles de robinetterie et organes simil. pour tuyauterie, etc., n.d.a.")</f>
        <v xml:space="preserve">   Parties d'articles de robinetterie et organes simil. pour tuyauterie, etc., n.d.a.</v>
      </c>
      <c r="C1290">
        <v>2324722</v>
      </c>
      <c r="D1290">
        <v>3</v>
      </c>
    </row>
    <row r="1291" spans="1:4" x14ac:dyDescent="0.25">
      <c r="A1291" t="str">
        <f>T("   848360")</f>
        <v xml:space="preserve">   848360</v>
      </c>
      <c r="B1291" t="str">
        <f>T("   Embrayages et organes d'accouplement, y.c. les joints d'articulation, pour machines")</f>
        <v xml:space="preserve">   Embrayages et organes d'accouplement, y.c. les joints d'articulation, pour machines</v>
      </c>
      <c r="C1291">
        <v>1398507</v>
      </c>
      <c r="D1291">
        <v>16</v>
      </c>
    </row>
    <row r="1292" spans="1:4" x14ac:dyDescent="0.25">
      <c r="A1292" t="str">
        <f>T("   848420")</f>
        <v xml:space="preserve">   848420</v>
      </c>
      <c r="B1292" t="str">
        <f>T("   Joints d'étanchéité mécaniques")</f>
        <v xml:space="preserve">   Joints d'étanchéité mécaniques</v>
      </c>
      <c r="C1292">
        <v>892106</v>
      </c>
      <c r="D1292">
        <v>2</v>
      </c>
    </row>
    <row r="1293" spans="1:4" x14ac:dyDescent="0.25">
      <c r="A1293" t="str">
        <f>T("   848490")</f>
        <v xml:space="preserve">   848490</v>
      </c>
      <c r="B1293" t="str">
        <f>T("   Jeux ou assortiments de joints de composition différente présentés en pochettes, enveloppes ou emballages analogues")</f>
        <v xml:space="preserve">   Jeux ou assortiments de joints de composition différente présentés en pochettes, enveloppes ou emballages analogues</v>
      </c>
      <c r="C1293">
        <v>1807866</v>
      </c>
      <c r="D1293">
        <v>1000</v>
      </c>
    </row>
    <row r="1294" spans="1:4" x14ac:dyDescent="0.25">
      <c r="A1294" t="str">
        <f>T("   850152")</f>
        <v xml:space="preserve">   850152</v>
      </c>
      <c r="B1294" t="str">
        <f>T("   Moteurs à courant alternatif, polyphasés, puissance &gt; 750 W mais &lt;= 75 kW")</f>
        <v xml:space="preserve">   Moteurs à courant alternatif, polyphasés, puissance &gt; 750 W mais &lt;= 75 kW</v>
      </c>
      <c r="C1294">
        <v>2198122</v>
      </c>
      <c r="D1294">
        <v>100</v>
      </c>
    </row>
    <row r="1295" spans="1:4" x14ac:dyDescent="0.25">
      <c r="A1295" t="str">
        <f>T("   850239")</f>
        <v xml:space="preserve">   850239</v>
      </c>
      <c r="B1295" t="str">
        <f>T("   Groupes électrogènes (autres qu'à énergie éolienne et à moteurs à piston)")</f>
        <v xml:space="preserve">   Groupes électrogènes (autres qu'à énergie éolienne et à moteurs à piston)</v>
      </c>
      <c r="C1295">
        <v>2125310</v>
      </c>
      <c r="D1295">
        <v>1500</v>
      </c>
    </row>
    <row r="1296" spans="1:4" x14ac:dyDescent="0.25">
      <c r="A1296" t="str">
        <f>T("   850300")</f>
        <v xml:space="preserve">   850300</v>
      </c>
      <c r="B1296" t="str">
        <f>T("   Parties reconnaissables comme étant exclusivement ou principalement destinées aux moteurs et machines génératrices électriques, groupes électrogènes ou convertisseurs rotatifs électriques n.d.a.")</f>
        <v xml:space="preserve">   Parties reconnaissables comme étant exclusivement ou principalement destinées aux moteurs et machines génératrices électriques, groupes électrogènes ou convertisseurs rotatifs électriques n.d.a.</v>
      </c>
      <c r="C1296">
        <v>235490</v>
      </c>
      <c r="D1296">
        <v>1.5</v>
      </c>
    </row>
    <row r="1297" spans="1:4" x14ac:dyDescent="0.25">
      <c r="A1297" t="str">
        <f>T("   850440")</f>
        <v xml:space="preserve">   850440</v>
      </c>
      <c r="B1297" t="str">
        <f>T("   CONVERTISSEURS STATIQUES")</f>
        <v xml:space="preserve">   CONVERTISSEURS STATIQUES</v>
      </c>
      <c r="C1297">
        <v>1264035</v>
      </c>
      <c r="D1297">
        <v>64</v>
      </c>
    </row>
    <row r="1298" spans="1:4" x14ac:dyDescent="0.25">
      <c r="A1298" t="str">
        <f>T("   850590")</f>
        <v xml:space="preserve">   850590</v>
      </c>
      <c r="B1298" t="str">
        <f>T("   ÉLECTRO-AIMANTS (AUTRES QU'À USAGES MÉDICAUX), TÊTES DE LEVAGE ÉLECTROMAGNÉTIQUES AINSI QUE PLATEAUX, MANDRINS ET DISPOSITIFS MAGNÉTIQUES OU ÉLECTROMAGNÉTIQUES SIMIL. DE FIXATION ET LEURS PARTIES N.D.A.")</f>
        <v xml:space="preserve">   ÉLECTRO-AIMANTS (AUTRES QU'À USAGES MÉDICAUX), TÊTES DE LEVAGE ÉLECTROMAGNÉTIQUES AINSI QUE PLATEAUX, MANDRINS ET DISPOSITIFS MAGNÉTIQUES OU ÉLECTROMAGNÉTIQUES SIMIL. DE FIXATION ET LEURS PARTIES N.D.A.</v>
      </c>
      <c r="C1298">
        <v>300430</v>
      </c>
      <c r="D1298">
        <v>1</v>
      </c>
    </row>
    <row r="1299" spans="1:4" x14ac:dyDescent="0.25">
      <c r="A1299" t="str">
        <f>T("   850780")</f>
        <v xml:space="preserve">   850780</v>
      </c>
      <c r="B1299" t="str">
        <f>T("   Accumulateurs électriques (sauf hors d'usage et autres qu'au plomb, au nickel-cadmium ou au nickel-fer)")</f>
        <v xml:space="preserve">   Accumulateurs électriques (sauf hors d'usage et autres qu'au plomb, au nickel-cadmium ou au nickel-fer)</v>
      </c>
      <c r="C1299">
        <v>1003759</v>
      </c>
      <c r="D1299">
        <v>232</v>
      </c>
    </row>
    <row r="1300" spans="1:4" x14ac:dyDescent="0.25">
      <c r="A1300" t="str">
        <f>T("   851140")</f>
        <v xml:space="preserve">   851140</v>
      </c>
      <c r="B1300" t="str">
        <f>T("   Démarreurs, même fonctionnant comme génératrices, pour moteurs à allumage par étincelles ou par compression")</f>
        <v xml:space="preserve">   Démarreurs, même fonctionnant comme génératrices, pour moteurs à allumage par étincelles ou par compression</v>
      </c>
      <c r="C1300">
        <v>507057</v>
      </c>
      <c r="D1300">
        <v>5</v>
      </c>
    </row>
    <row r="1301" spans="1:4" x14ac:dyDescent="0.25">
      <c r="A1301" t="str">
        <f>T("   851650")</f>
        <v xml:space="preserve">   851650</v>
      </c>
      <c r="B1301" t="str">
        <f>T("   Fours à micro-ondes")</f>
        <v xml:space="preserve">   Fours à micro-ondes</v>
      </c>
      <c r="C1301">
        <v>149356</v>
      </c>
      <c r="D1301">
        <v>10</v>
      </c>
    </row>
    <row r="1302" spans="1:4" x14ac:dyDescent="0.25">
      <c r="A1302" t="str">
        <f>T("   852510")</f>
        <v xml:space="preserve">   852510</v>
      </c>
      <c r="B1302" t="str">
        <f>T("   Appareils d'émission, pour la radiotéléphonie, la radiotélégraphie, la radiodiffusion ou la télévision")</f>
        <v xml:space="preserve">   Appareils d'émission, pour la radiotéléphonie, la radiotélégraphie, la radiodiffusion ou la télévision</v>
      </c>
      <c r="C1302">
        <v>210480</v>
      </c>
      <c r="D1302">
        <v>5</v>
      </c>
    </row>
    <row r="1303" spans="1:4" x14ac:dyDescent="0.25">
      <c r="A1303" t="str">
        <f>T("   852812")</f>
        <v xml:space="preserve">   852812</v>
      </c>
      <c r="B1303"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1303">
        <v>704953</v>
      </c>
      <c r="D1303">
        <v>385</v>
      </c>
    </row>
    <row r="1304" spans="1:4" x14ac:dyDescent="0.25">
      <c r="A1304" t="str">
        <f>T("   853641")</f>
        <v xml:space="preserve">   853641</v>
      </c>
      <c r="B1304" t="str">
        <f>T("   Relais pour une tension &lt;= 60 V")</f>
        <v xml:space="preserve">   Relais pour une tension &lt;= 60 V</v>
      </c>
      <c r="C1304">
        <v>1237141</v>
      </c>
      <c r="D1304">
        <v>1</v>
      </c>
    </row>
    <row r="1305" spans="1:4" x14ac:dyDescent="0.25">
      <c r="A1305" t="str">
        <f>T("   853650")</f>
        <v xml:space="preserve">   853650</v>
      </c>
      <c r="B1305" t="str">
        <f>T("   Interrupteurs, sectionneurs et commutateurs, pour une tension &lt;= 1.000 V (autres que relais et disjoncteurs)")</f>
        <v xml:space="preserve">   Interrupteurs, sectionneurs et commutateurs, pour une tension &lt;= 1.000 V (autres que relais et disjoncteurs)</v>
      </c>
      <c r="C1305">
        <v>599547</v>
      </c>
      <c r="D1305">
        <v>2</v>
      </c>
    </row>
    <row r="1306" spans="1:4" x14ac:dyDescent="0.25">
      <c r="A1306" t="str">
        <f>T("   853669")</f>
        <v xml:space="preserve">   853669</v>
      </c>
      <c r="B1306" t="str">
        <f>T("   Fiches et prises de courant, pour une tension &lt;= 1.000 V (sauf douilles pour lampes)")</f>
        <v xml:space="preserve">   Fiches et prises de courant, pour une tension &lt;= 1.000 V (sauf douilles pour lampes)</v>
      </c>
      <c r="C1306">
        <v>61572</v>
      </c>
      <c r="D1306">
        <v>2</v>
      </c>
    </row>
    <row r="1307" spans="1:4" x14ac:dyDescent="0.25">
      <c r="A1307" t="str">
        <f>T("   853690")</f>
        <v xml:space="preserve">   853690</v>
      </c>
      <c r="B1307" t="s">
        <v>474</v>
      </c>
      <c r="C1307">
        <v>3526441</v>
      </c>
      <c r="D1307">
        <v>4</v>
      </c>
    </row>
    <row r="1308" spans="1:4" x14ac:dyDescent="0.25">
      <c r="A1308" t="str">
        <f>T("   853949")</f>
        <v xml:space="preserve">   853949</v>
      </c>
      <c r="B1308" t="str">
        <f>T("   Lampes et tubes à rayons ultraviolets ou infrarouges")</f>
        <v xml:space="preserve">   Lampes et tubes à rayons ultraviolets ou infrarouges</v>
      </c>
      <c r="C1308">
        <v>2428364</v>
      </c>
      <c r="D1308">
        <v>1</v>
      </c>
    </row>
    <row r="1309" spans="1:4" x14ac:dyDescent="0.25">
      <c r="A1309" t="str">
        <f>T("   854420")</f>
        <v xml:space="preserve">   854420</v>
      </c>
      <c r="B1309" t="str">
        <f>T("   Câbles coaxiaux et autres conducteurs électriques coaxiaux, isolés")</f>
        <v xml:space="preserve">   Câbles coaxiaux et autres conducteurs électriques coaxiaux, isolés</v>
      </c>
      <c r="C1309">
        <v>288622</v>
      </c>
      <c r="D1309">
        <v>7</v>
      </c>
    </row>
    <row r="1310" spans="1:4" x14ac:dyDescent="0.25">
      <c r="A1310" t="str">
        <f>T("   870120")</f>
        <v xml:space="preserve">   870120</v>
      </c>
      <c r="B1310" t="str">
        <f>T("   Tracteurs routiers pour semi-remorques")</f>
        <v xml:space="preserve">   Tracteurs routiers pour semi-remorques</v>
      </c>
      <c r="C1310">
        <v>6074018</v>
      </c>
      <c r="D1310">
        <v>20300</v>
      </c>
    </row>
    <row r="1311" spans="1:4" x14ac:dyDescent="0.25">
      <c r="A1311" t="str">
        <f>T("   870210")</f>
        <v xml:space="preserve">   870210</v>
      </c>
      <c r="B1311" t="s">
        <v>477</v>
      </c>
      <c r="C1311">
        <v>10800000</v>
      </c>
      <c r="D1311">
        <v>15410</v>
      </c>
    </row>
    <row r="1312" spans="1:4" x14ac:dyDescent="0.25">
      <c r="A1312" t="str">
        <f>T("   870290")</f>
        <v xml:space="preserve">   870290</v>
      </c>
      <c r="B1312" t="s">
        <v>478</v>
      </c>
      <c r="C1312">
        <v>57820357</v>
      </c>
      <c r="D1312">
        <v>66531</v>
      </c>
    </row>
    <row r="1313" spans="1:4" x14ac:dyDescent="0.25">
      <c r="A1313" t="str">
        <f>T("   870322")</f>
        <v xml:space="preserve">   870322</v>
      </c>
      <c r="B1313" t="s">
        <v>480</v>
      </c>
      <c r="C1313">
        <v>743283634</v>
      </c>
      <c r="D1313">
        <v>675034</v>
      </c>
    </row>
    <row r="1314" spans="1:4" x14ac:dyDescent="0.25">
      <c r="A1314" t="str">
        <f>T("   870323")</f>
        <v xml:space="preserve">   870323</v>
      </c>
      <c r="B1314" t="s">
        <v>481</v>
      </c>
      <c r="C1314">
        <v>62539434</v>
      </c>
      <c r="D1314">
        <v>57331</v>
      </c>
    </row>
    <row r="1315" spans="1:4" x14ac:dyDescent="0.25">
      <c r="A1315" t="str">
        <f>T("   870324")</f>
        <v xml:space="preserve">   870324</v>
      </c>
      <c r="B1315" t="s">
        <v>482</v>
      </c>
      <c r="C1315">
        <v>1200000</v>
      </c>
      <c r="D1315">
        <v>950</v>
      </c>
    </row>
    <row r="1316" spans="1:4" x14ac:dyDescent="0.25">
      <c r="A1316" t="str">
        <f>T("   870333")</f>
        <v xml:space="preserve">   870333</v>
      </c>
      <c r="B1316" t="s">
        <v>485</v>
      </c>
      <c r="C1316">
        <v>6630014</v>
      </c>
      <c r="D1316">
        <v>2000</v>
      </c>
    </row>
    <row r="1317" spans="1:4" x14ac:dyDescent="0.25">
      <c r="A1317" t="str">
        <f>T("   870421")</f>
        <v xml:space="preserve">   870421</v>
      </c>
      <c r="B1317" t="s">
        <v>486</v>
      </c>
      <c r="C1317">
        <v>77386421</v>
      </c>
      <c r="D1317">
        <v>81004</v>
      </c>
    </row>
    <row r="1318" spans="1:4" x14ac:dyDescent="0.25">
      <c r="A1318" t="str">
        <f>T("   870422")</f>
        <v xml:space="preserve">   870422</v>
      </c>
      <c r="B1318" t="s">
        <v>487</v>
      </c>
      <c r="C1318">
        <v>5205338</v>
      </c>
      <c r="D1318">
        <v>8610</v>
      </c>
    </row>
    <row r="1319" spans="1:4" x14ac:dyDescent="0.25">
      <c r="A1319" t="str">
        <f>T("   870431")</f>
        <v xml:space="preserve">   870431</v>
      </c>
      <c r="B1319" t="s">
        <v>489</v>
      </c>
      <c r="C1319">
        <v>30000000</v>
      </c>
      <c r="D1319">
        <v>36416</v>
      </c>
    </row>
    <row r="1320" spans="1:4" x14ac:dyDescent="0.25">
      <c r="A1320" t="str">
        <f>T("   870490")</f>
        <v xml:space="preserve">   870490</v>
      </c>
      <c r="B1320" t="str">
        <f>T("   Véhicules automobiles pour le transport de marchandises à moteur autre qu'à piston à allumage par étincelles ou moteur diesel ou semi-diesel (sauf tombereaux automoteurs du n° 8704.10, véhicules automobiles à usages spéciaux du n° 8705)")</f>
        <v xml:space="preserve">   Véhicules automobiles pour le transport de marchandises à moteur autre qu'à piston à allumage par étincelles ou moteur diesel ou semi-diesel (sauf tombereaux automoteurs du n° 8704.10, véhicules automobiles à usages spéciaux du n° 8705)</v>
      </c>
      <c r="C1320">
        <v>1200000</v>
      </c>
      <c r="D1320">
        <v>950</v>
      </c>
    </row>
    <row r="1321" spans="1:4" x14ac:dyDescent="0.25">
      <c r="A1321" t="str">
        <f>T("   870870")</f>
        <v xml:space="preserve">   870870</v>
      </c>
      <c r="B1321" t="str">
        <f>T("   ROUES, LEURS PARTIES ET ACCESSOIRES POUR TRACTEURS, VÉHICULES POUR LE TRANSPORT DE &gt;= 10 PERSONNES, CHAUFFEUR INCLUS, VOITURES DE TOURISME, VÉHICULES POUR LE TRANSPORT DE MARCHANDISES ET VÉHICULES À USAGES SPÉCIAUX, N.D.A.")</f>
        <v xml:space="preserve">   ROUES, LEURS PARTIES ET ACCESSOIRES POUR TRACTEURS, VÉHICULES POUR LE TRANSPORT DE &gt;= 10 PERSONNES, CHAUFFEUR INCLUS, VOITURES DE TOURISME, VÉHICULES POUR LE TRANSPORT DE MARCHANDISES ET VÉHICULES À USAGES SPÉCIAUX, N.D.A.</v>
      </c>
      <c r="C1321">
        <v>160000</v>
      </c>
      <c r="D1321">
        <v>20</v>
      </c>
    </row>
    <row r="1322" spans="1:4" x14ac:dyDescent="0.25">
      <c r="A1322" t="str">
        <f>T("   871200")</f>
        <v xml:space="preserve">   871200</v>
      </c>
      <c r="B1322" t="str">
        <f>T("   BICYCLETTES ET AUTRES CYCLES, -Y.C. LES TRIPORTEURS-, SANS MOTEUR")</f>
        <v xml:space="preserve">   BICYCLETTES ET AUTRES CYCLES, -Y.C. LES TRIPORTEURS-, SANS MOTEUR</v>
      </c>
      <c r="C1322">
        <v>70188</v>
      </c>
      <c r="D1322">
        <v>70</v>
      </c>
    </row>
    <row r="1323" spans="1:4" x14ac:dyDescent="0.25">
      <c r="A1323" t="str">
        <f>T("   871492")</f>
        <v xml:space="preserve">   871492</v>
      </c>
      <c r="B1323" t="str">
        <f>T("   Jantes et rayons, de bicyclettes")</f>
        <v xml:space="preserve">   Jantes et rayons, de bicyclettes</v>
      </c>
      <c r="C1323">
        <v>180389</v>
      </c>
      <c r="D1323">
        <v>3000</v>
      </c>
    </row>
    <row r="1324" spans="1:4" x14ac:dyDescent="0.25">
      <c r="A1324" t="str">
        <f>T("   871640")</f>
        <v xml:space="preserve">   871640</v>
      </c>
      <c r="B1324"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1324">
        <v>4429292</v>
      </c>
      <c r="D1324">
        <v>16320</v>
      </c>
    </row>
    <row r="1325" spans="1:4" x14ac:dyDescent="0.25">
      <c r="A1325" t="str">
        <f>T("   901180")</f>
        <v xml:space="preserve">   901180</v>
      </c>
      <c r="B1325" t="s">
        <v>500</v>
      </c>
      <c r="C1325">
        <v>183705</v>
      </c>
      <c r="D1325">
        <v>140</v>
      </c>
    </row>
    <row r="1326" spans="1:4" x14ac:dyDescent="0.25">
      <c r="A1326" t="str">
        <f>T("   901580")</f>
        <v xml:space="preserve">   901580</v>
      </c>
      <c r="B1326" t="s">
        <v>501</v>
      </c>
      <c r="C1326">
        <v>6589630</v>
      </c>
      <c r="D1326">
        <v>36</v>
      </c>
    </row>
    <row r="1327" spans="1:4" x14ac:dyDescent="0.25">
      <c r="A1327" t="str">
        <f>T("   901819")</f>
        <v xml:space="preserve">   901819</v>
      </c>
      <c r="B1327" t="s">
        <v>502</v>
      </c>
      <c r="C1327">
        <v>2327866</v>
      </c>
      <c r="D1327">
        <v>292</v>
      </c>
    </row>
    <row r="1328" spans="1:4" x14ac:dyDescent="0.25">
      <c r="A1328" t="str">
        <f>T("   902139")</f>
        <v xml:space="preserve">   902139</v>
      </c>
      <c r="B1328" t="str">
        <f>T("   Articles et appareils de prothèse (sauf de prothèse dentaire et prothèses articulaires)")</f>
        <v xml:space="preserve">   Articles et appareils de prothèse (sauf de prothèse dentaire et prothèses articulaires)</v>
      </c>
      <c r="C1328">
        <v>4574265</v>
      </c>
      <c r="D1328">
        <v>343</v>
      </c>
    </row>
    <row r="1329" spans="1:4" x14ac:dyDescent="0.25">
      <c r="A1329" t="str">
        <f>T("   902219")</f>
        <v xml:space="preserve">   902219</v>
      </c>
      <c r="B1329" t="str">
        <f>T("   Appareils à rayons X (à usage autre que médical, chirurgical, dentaire ou vétérinaire)")</f>
        <v xml:space="preserve">   Appareils à rayons X (à usage autre que médical, chirurgical, dentaire ou vétérinaire)</v>
      </c>
      <c r="C1329">
        <v>486723</v>
      </c>
      <c r="D1329">
        <v>10</v>
      </c>
    </row>
    <row r="1330" spans="1:4" x14ac:dyDescent="0.25">
      <c r="A1330" t="str">
        <f>T("   902480")</f>
        <v xml:space="preserve">   902480</v>
      </c>
      <c r="B1330" t="str">
        <f>T("   Machines et appareils d'essais des propriétés mécaniques des matériaux (autres que les métaux)")</f>
        <v xml:space="preserve">   Machines et appareils d'essais des propriétés mécaniques des matériaux (autres que les métaux)</v>
      </c>
      <c r="C1330">
        <v>2725973</v>
      </c>
      <c r="D1330">
        <v>580</v>
      </c>
    </row>
    <row r="1331" spans="1:4" x14ac:dyDescent="0.25">
      <c r="A1331" t="str">
        <f>T("   902519")</f>
        <v xml:space="preserve">   902519</v>
      </c>
      <c r="B1331" t="str">
        <f>T("   THERMOMÈTRES ET PYROMÈTRES, NON-COMBINÉS À D'AUTRES INSTRUMENTS (À L'EXCL. DES THERMOMÈTRES À LIQUIDE, À LECTURE DIRECTE) [01/01/1988-31/12/1991: THERMOMÈTRES, NON COMBINES A D'AUTRES INSTRUMENTS, (NON REPR. SOUS 9025.11)]")</f>
        <v xml:space="preserve">   THERMOMÈTRES ET PYROMÈTRES, NON-COMBINÉS À D'AUTRES INSTRUMENTS (À L'EXCL. DES THERMOMÈTRES À LIQUIDE, À LECTURE DIRECTE) [01/01/1988-31/12/1991: THERMOMÈTRES, NON COMBINES A D'AUTRES INSTRUMENTS, (NON REPR. SOUS 9025.11)]</v>
      </c>
      <c r="C1331">
        <v>27550</v>
      </c>
      <c r="D1331">
        <v>1</v>
      </c>
    </row>
    <row r="1332" spans="1:4" x14ac:dyDescent="0.25">
      <c r="A1332" t="str">
        <f>T("   902610")</f>
        <v xml:space="preserve">   902610</v>
      </c>
      <c r="B1332" t="str">
        <f>T("   Instruments et appareils pour la mesure ou le contrôle du débit ou du niveau des liquides (à l'excl. des compteurs et des instruments et appareils pour la régulation ou le contrôle automatiques)")</f>
        <v xml:space="preserve">   Instruments et appareils pour la mesure ou le contrôle du débit ou du niveau des liquides (à l'excl. des compteurs et des instruments et appareils pour la régulation ou le contrôle automatiques)</v>
      </c>
      <c r="C1332">
        <v>4404116</v>
      </c>
      <c r="D1332">
        <v>23</v>
      </c>
    </row>
    <row r="1333" spans="1:4" x14ac:dyDescent="0.25">
      <c r="A1333" t="str">
        <f>T("   902620")</f>
        <v xml:space="preserve">   902620</v>
      </c>
      <c r="B1333" t="str">
        <f>T("   Instruments et appareils pour la mesure ou le contrôle de la pression des liquides ou des gaz (à l'excl. des instruments et appareils pour la régulation ou le contrôle automatiques)")</f>
        <v xml:space="preserve">   Instruments et appareils pour la mesure ou le contrôle de la pression des liquides ou des gaz (à l'excl. des instruments et appareils pour la régulation ou le contrôle automatiques)</v>
      </c>
      <c r="C1333">
        <v>2211241</v>
      </c>
      <c r="D1333">
        <v>4</v>
      </c>
    </row>
    <row r="1334" spans="1:4" x14ac:dyDescent="0.25">
      <c r="A1334" t="str">
        <f>T("   902680")</f>
        <v xml:space="preserve">   902680</v>
      </c>
      <c r="B1334" t="str">
        <f>T("   Instruments et appareils pour la mesure et le contrôle des caractéristiques variables des liquides ou des gaz, n.d.a.")</f>
        <v xml:space="preserve">   Instruments et appareils pour la mesure et le contrôle des caractéristiques variables des liquides ou des gaz, n.d.a.</v>
      </c>
      <c r="C1334">
        <v>4470367</v>
      </c>
      <c r="D1334">
        <v>116</v>
      </c>
    </row>
    <row r="1335" spans="1:4" x14ac:dyDescent="0.25">
      <c r="A1335" t="str">
        <f>T("   903083")</f>
        <v xml:space="preserve">   903083</v>
      </c>
      <c r="B1335" t="s">
        <v>507</v>
      </c>
      <c r="C1335">
        <v>2504455</v>
      </c>
      <c r="D1335">
        <v>3</v>
      </c>
    </row>
    <row r="1336" spans="1:4" x14ac:dyDescent="0.25">
      <c r="A1336" t="str">
        <f>T("   903180")</f>
        <v xml:space="preserve">   903180</v>
      </c>
      <c r="B1336" t="str">
        <f>T("   INSTRUMENTS, APPAREILS ET MACHINES DE MESURE OU DE CONTRÔLE, NON-OPTIQUES, N.D.A. DANS LE PRÉSENT CHAPITRE")</f>
        <v xml:space="preserve">   INSTRUMENTS, APPAREILS ET MACHINES DE MESURE OU DE CONTRÔLE, NON-OPTIQUES, N.D.A. DANS LE PRÉSENT CHAPITRE</v>
      </c>
      <c r="C1336">
        <v>518914</v>
      </c>
      <c r="D1336">
        <v>14</v>
      </c>
    </row>
    <row r="1337" spans="1:4" x14ac:dyDescent="0.25">
      <c r="A1337" t="str">
        <f>T("   903220")</f>
        <v xml:space="preserve">   903220</v>
      </c>
      <c r="B1337" t="str">
        <f>T("   Manostats [pressostats] (sauf les articles de robinetterie du n° 8481)")</f>
        <v xml:space="preserve">   Manostats [pressostats] (sauf les articles de robinetterie du n° 8481)</v>
      </c>
      <c r="C1337">
        <v>887514</v>
      </c>
      <c r="D1337">
        <v>1</v>
      </c>
    </row>
    <row r="1338" spans="1:4" x14ac:dyDescent="0.25">
      <c r="A1338" t="str">
        <f>T("   903289")</f>
        <v xml:space="preserve">   903289</v>
      </c>
      <c r="B1338" t="s">
        <v>508</v>
      </c>
      <c r="C1338">
        <v>2269622</v>
      </c>
      <c r="D1338">
        <v>19</v>
      </c>
    </row>
    <row r="1339" spans="1:4" x14ac:dyDescent="0.25">
      <c r="A1339" t="str">
        <f>T("   940380")</f>
        <v xml:space="preserve">   940380</v>
      </c>
      <c r="B1339" t="str">
        <f>T("   Meubles en rotin, osier, bambou ou autres matières (sauf métal, bois et matières plastiques)")</f>
        <v xml:space="preserve">   Meubles en rotin, osier, bambou ou autres matières (sauf métal, bois et matières plastiques)</v>
      </c>
      <c r="C1339">
        <v>846430</v>
      </c>
      <c r="D1339">
        <v>5534</v>
      </c>
    </row>
    <row r="1340" spans="1:4" x14ac:dyDescent="0.25">
      <c r="A1340" t="str">
        <f>T("   950390")</f>
        <v xml:space="preserve">   950390</v>
      </c>
      <c r="B1340" t="str">
        <f>T("   Jouets, n.d.a.")</f>
        <v xml:space="preserve">   Jouets, n.d.a.</v>
      </c>
      <c r="C1340">
        <v>270000</v>
      </c>
      <c r="D1340">
        <v>130</v>
      </c>
    </row>
    <row r="1341" spans="1:4" x14ac:dyDescent="0.25">
      <c r="A1341" t="str">
        <f>T("   950669")</f>
        <v xml:space="preserve">   950669</v>
      </c>
      <c r="B1341" t="str">
        <f>T("   Ballons et balles (autres que gonflables et autres que balles de golf ou de tennis de table)")</f>
        <v xml:space="preserve">   Ballons et balles (autres que gonflables et autres que balles de golf ou de tennis de table)</v>
      </c>
      <c r="C1341">
        <v>539786</v>
      </c>
      <c r="D1341">
        <v>204</v>
      </c>
    </row>
    <row r="1342" spans="1:4" x14ac:dyDescent="0.25">
      <c r="A1342" t="str">
        <f>T("   960839")</f>
        <v xml:space="preserve">   960839</v>
      </c>
      <c r="B1342" t="str">
        <f>T("   Stylos à plume et autres stylos (autres qu'à dessiner à l'encre de Chine)")</f>
        <v xml:space="preserve">   Stylos à plume et autres stylos (autres qu'à dessiner à l'encre de Chine)</v>
      </c>
      <c r="C1342">
        <v>54000</v>
      </c>
      <c r="D1342">
        <v>1260</v>
      </c>
    </row>
    <row r="1343" spans="1:4" x14ac:dyDescent="0.25">
      <c r="A1343" t="str">
        <f>T("CI")</f>
        <v>CI</v>
      </c>
      <c r="B1343" t="str">
        <f>T("Côte d'Ivoire")</f>
        <v>Côte d'Ivoire</v>
      </c>
    </row>
    <row r="1344" spans="1:4" x14ac:dyDescent="0.25">
      <c r="A1344" t="str">
        <f>T("   ZZ_Total_Produit_SH6")</f>
        <v xml:space="preserve">   ZZ_Total_Produit_SH6</v>
      </c>
      <c r="B1344" t="str">
        <f>T("   ZZ_Total_Produit_SH6")</f>
        <v xml:space="preserve">   ZZ_Total_Produit_SH6</v>
      </c>
      <c r="C1344">
        <v>23870715586.577</v>
      </c>
      <c r="D1344">
        <v>57588944.899999999</v>
      </c>
    </row>
    <row r="1345" spans="1:4" x14ac:dyDescent="0.25">
      <c r="A1345" t="str">
        <f>T("   020714")</f>
        <v xml:space="preserve">   020714</v>
      </c>
      <c r="B1345" t="str">
        <f>T("   Morceaux et abats comestibles de coqs et de poules [des espèces domestiques], congelés")</f>
        <v xml:space="preserve">   Morceaux et abats comestibles de coqs et de poules [des espèces domestiques], congelés</v>
      </c>
      <c r="C1345">
        <v>8991244</v>
      </c>
      <c r="D1345">
        <v>14980</v>
      </c>
    </row>
    <row r="1346" spans="1:4" x14ac:dyDescent="0.25">
      <c r="A1346" t="str">
        <f>T("   020727")</f>
        <v xml:space="preserve">   020727</v>
      </c>
      <c r="B1346" t="str">
        <f>T("   Morceaux et abats comestibles de dindes et dindons [des espèces domestiques], congelés")</f>
        <v xml:space="preserve">   Morceaux et abats comestibles de dindes et dindons [des espèces domestiques], congelés</v>
      </c>
      <c r="C1346">
        <v>6614045</v>
      </c>
      <c r="D1346">
        <v>11020</v>
      </c>
    </row>
    <row r="1347" spans="1:4" x14ac:dyDescent="0.25">
      <c r="A1347" t="str">
        <f>T("   070190")</f>
        <v xml:space="preserve">   070190</v>
      </c>
      <c r="B1347" t="str">
        <f>T("   Pommes de terre, à l'état frais ou réfrigéré (à l'excl. des pommes de terre de semence)")</f>
        <v xml:space="preserve">   Pommes de terre, à l'état frais ou réfrigéré (à l'excl. des pommes de terre de semence)</v>
      </c>
      <c r="C1347">
        <v>7872998</v>
      </c>
      <c r="D1347">
        <v>56980</v>
      </c>
    </row>
    <row r="1348" spans="1:4" x14ac:dyDescent="0.25">
      <c r="A1348" t="str">
        <f>T("   090230")</f>
        <v xml:space="preserve">   090230</v>
      </c>
      <c r="B1348" t="s">
        <v>25</v>
      </c>
      <c r="C1348">
        <v>689049</v>
      </c>
      <c r="D1348">
        <v>618</v>
      </c>
    </row>
    <row r="1349" spans="1:4" x14ac:dyDescent="0.25">
      <c r="A1349" t="str">
        <f>T("   100630")</f>
        <v xml:space="preserve">   100630</v>
      </c>
      <c r="B1349" t="str">
        <f>T("   Riz semi-blanchi ou blanchi, même poli ou glacé")</f>
        <v xml:space="preserve">   Riz semi-blanchi ou blanchi, même poli ou glacé</v>
      </c>
      <c r="C1349">
        <v>83648020</v>
      </c>
      <c r="D1349">
        <v>160000</v>
      </c>
    </row>
    <row r="1350" spans="1:4" x14ac:dyDescent="0.25">
      <c r="A1350" t="str">
        <f>T("   110100")</f>
        <v xml:space="preserve">   110100</v>
      </c>
      <c r="B1350" t="str">
        <f>T("   Farines de froment [blé] ou de méteil")</f>
        <v xml:space="preserve">   Farines de froment [blé] ou de méteil</v>
      </c>
      <c r="C1350">
        <v>89989460.548999995</v>
      </c>
      <c r="D1350">
        <v>306600</v>
      </c>
    </row>
    <row r="1351" spans="1:4" x14ac:dyDescent="0.25">
      <c r="A1351" t="str">
        <f>T("   120799")</f>
        <v xml:space="preserve">   120799</v>
      </c>
      <c r="B1351" t="s">
        <v>29</v>
      </c>
      <c r="C1351">
        <v>126874262</v>
      </c>
      <c r="D1351">
        <v>100000</v>
      </c>
    </row>
    <row r="1352" spans="1:4" x14ac:dyDescent="0.25">
      <c r="A1352" t="str">
        <f>T("   151110")</f>
        <v xml:space="preserve">   151110</v>
      </c>
      <c r="B1352" t="str">
        <f>T("   Huile de palme, brute")</f>
        <v xml:space="preserve">   Huile de palme, brute</v>
      </c>
      <c r="C1352">
        <v>4700000</v>
      </c>
      <c r="D1352">
        <v>47000</v>
      </c>
    </row>
    <row r="1353" spans="1:4" x14ac:dyDescent="0.25">
      <c r="A1353" t="str">
        <f>T("   151190")</f>
        <v xml:space="preserve">   151190</v>
      </c>
      <c r="B1353" t="str">
        <f>T("   Huile de palme et ses fractions, même raffinées, mais non chimiquement modifiées (à l'excl. de l'huile de palme brute)")</f>
        <v xml:space="preserve">   Huile de palme et ses fractions, même raffinées, mais non chimiquement modifiées (à l'excl. de l'huile de palme brute)</v>
      </c>
      <c r="C1353">
        <v>136394315.02700001</v>
      </c>
      <c r="D1353">
        <v>453240</v>
      </c>
    </row>
    <row r="1354" spans="1:4" x14ac:dyDescent="0.25">
      <c r="A1354" t="str">
        <f>T("   151620")</f>
        <v xml:space="preserve">   151620</v>
      </c>
      <c r="B1354"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1354">
        <v>4400180</v>
      </c>
      <c r="D1354">
        <v>24604</v>
      </c>
    </row>
    <row r="1355" spans="1:4" x14ac:dyDescent="0.25">
      <c r="A1355" t="str">
        <f>T("   170410")</f>
        <v xml:space="preserve">   170410</v>
      </c>
      <c r="B1355" t="str">
        <f>T("   Gommes à mâcher [chewing-gum], même enrobées de sucre")</f>
        <v xml:space="preserve">   Gommes à mâcher [chewing-gum], même enrobées de sucre</v>
      </c>
      <c r="C1355">
        <v>51812385</v>
      </c>
      <c r="D1355">
        <v>235810</v>
      </c>
    </row>
    <row r="1356" spans="1:4" x14ac:dyDescent="0.25">
      <c r="A1356" t="str">
        <f>T("   170490")</f>
        <v xml:space="preserve">   170490</v>
      </c>
      <c r="B1356" t="str">
        <f>T("   Sucreries sans cacao, y.c. le chocolat blanc (à l'excl. des gommes à mâcher)")</f>
        <v xml:space="preserve">   Sucreries sans cacao, y.c. le chocolat blanc (à l'excl. des gommes à mâcher)</v>
      </c>
      <c r="C1356">
        <v>87000000</v>
      </c>
      <c r="D1356">
        <v>479185</v>
      </c>
    </row>
    <row r="1357" spans="1:4" x14ac:dyDescent="0.25">
      <c r="A1357" t="str">
        <f>T("   190219")</f>
        <v xml:space="preserve">   190219</v>
      </c>
      <c r="B1357" t="str">
        <f>T("   PÂTES ALIMENTAIRES NON-CUITES NI FARCIES NI AUTREMENT PRÉPARÉES, NE CONTENANT PAS D'OEUFS")</f>
        <v xml:space="preserve">   PÂTES ALIMENTAIRES NON-CUITES NI FARCIES NI AUTREMENT PRÉPARÉES, NE CONTENANT PAS D'OEUFS</v>
      </c>
      <c r="C1357">
        <v>814421181</v>
      </c>
      <c r="D1357">
        <v>2554263</v>
      </c>
    </row>
    <row r="1358" spans="1:4" x14ac:dyDescent="0.25">
      <c r="A1358" t="str">
        <f>T("   190230")</f>
        <v xml:space="preserve">   190230</v>
      </c>
      <c r="B1358" t="str">
        <f>T("   Pâtes alimentaires, cuites ou autrement préparées (à l'excl. des pâtes alimentaires farcies)")</f>
        <v xml:space="preserve">   Pâtes alimentaires, cuites ou autrement préparées (à l'excl. des pâtes alimentaires farcies)</v>
      </c>
      <c r="C1358">
        <v>21500000</v>
      </c>
      <c r="D1358">
        <v>200320</v>
      </c>
    </row>
    <row r="1359" spans="1:4" x14ac:dyDescent="0.25">
      <c r="A1359" t="str">
        <f>T("   190531")</f>
        <v xml:space="preserve">   190531</v>
      </c>
      <c r="B1359" t="str">
        <f>T("   Biscuits additionnés d'édulcorants")</f>
        <v xml:space="preserve">   Biscuits additionnés d'édulcorants</v>
      </c>
      <c r="C1359">
        <v>5798320</v>
      </c>
      <c r="D1359">
        <v>15727</v>
      </c>
    </row>
    <row r="1360" spans="1:4" x14ac:dyDescent="0.25">
      <c r="A1360" t="str">
        <f>T("   190590")</f>
        <v xml:space="preserve">   190590</v>
      </c>
      <c r="B1360" t="s">
        <v>51</v>
      </c>
      <c r="C1360">
        <v>16500000</v>
      </c>
      <c r="D1360">
        <v>93780</v>
      </c>
    </row>
    <row r="1361" spans="1:4" x14ac:dyDescent="0.25">
      <c r="A1361" t="str">
        <f>T("   200290")</f>
        <v xml:space="preserve">   200290</v>
      </c>
      <c r="B1361"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1361">
        <v>3805000</v>
      </c>
      <c r="D1361">
        <v>21015</v>
      </c>
    </row>
    <row r="1362" spans="1:4" x14ac:dyDescent="0.25">
      <c r="A1362" t="str">
        <f>T("   210111")</f>
        <v xml:space="preserve">   210111</v>
      </c>
      <c r="B1362" t="str">
        <f>T("   Extraits, essences et concentrés de café")</f>
        <v xml:space="preserve">   Extraits, essences et concentrés de café</v>
      </c>
      <c r="C1362">
        <v>43425089</v>
      </c>
      <c r="D1362">
        <v>6351</v>
      </c>
    </row>
    <row r="1363" spans="1:4" x14ac:dyDescent="0.25">
      <c r="A1363" t="str">
        <f>T("   210112")</f>
        <v xml:space="preserve">   210112</v>
      </c>
      <c r="B1363" t="str">
        <f>T("   Préparations à base d'extraits, essences ou concentrés de café ou à base de café")</f>
        <v xml:space="preserve">   Préparations à base d'extraits, essences ou concentrés de café ou à base de café</v>
      </c>
      <c r="C1363">
        <v>23834580</v>
      </c>
      <c r="D1363">
        <v>3744</v>
      </c>
    </row>
    <row r="1364" spans="1:4" x14ac:dyDescent="0.25">
      <c r="A1364" t="str">
        <f>T("   210410")</f>
        <v xml:space="preserve">   210410</v>
      </c>
      <c r="B1364" t="str">
        <f>T("   Préparations pour soupes, potages ou bouillons; soupes, potages ou bouillons préparés")</f>
        <v xml:space="preserve">   Préparations pour soupes, potages ou bouillons; soupes, potages ou bouillons préparés</v>
      </c>
      <c r="C1364">
        <v>2000000</v>
      </c>
      <c r="D1364">
        <v>18850</v>
      </c>
    </row>
    <row r="1365" spans="1:4" x14ac:dyDescent="0.25">
      <c r="A1365" t="str">
        <f>T("   220110")</f>
        <v xml:space="preserve">   220110</v>
      </c>
      <c r="B1365" t="str">
        <f>T("   Eaux minérales et eaux gazéifiées, non additionnées de sucre ou d'autres édulcorants ni aromatisées")</f>
        <v xml:space="preserve">   Eaux minérales et eaux gazéifiées, non additionnées de sucre ou d'autres édulcorants ni aromatisées</v>
      </c>
      <c r="C1365">
        <v>3315906</v>
      </c>
      <c r="D1365">
        <v>40000</v>
      </c>
    </row>
    <row r="1366" spans="1:4" x14ac:dyDescent="0.25">
      <c r="A1366" t="str">
        <f>T("   220210")</f>
        <v xml:space="preserve">   220210</v>
      </c>
      <c r="B1366"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1366">
        <v>12620304</v>
      </c>
      <c r="D1366">
        <v>35374</v>
      </c>
    </row>
    <row r="1367" spans="1:4" x14ac:dyDescent="0.25">
      <c r="A1367" t="str">
        <f>T("   220300")</f>
        <v xml:space="preserve">   220300</v>
      </c>
      <c r="B1367" t="str">
        <f>T("   Bières de malt")</f>
        <v xml:space="preserve">   Bières de malt</v>
      </c>
      <c r="C1367">
        <v>59457380</v>
      </c>
      <c r="D1367">
        <v>152735</v>
      </c>
    </row>
    <row r="1368" spans="1:4" x14ac:dyDescent="0.25">
      <c r="A1368" t="str">
        <f>T("   240220")</f>
        <v xml:space="preserve">   240220</v>
      </c>
      <c r="B1368" t="str">
        <f>T("   Cigarettes contenant du tabac")</f>
        <v xml:space="preserve">   Cigarettes contenant du tabac</v>
      </c>
      <c r="C1368">
        <v>1341622818</v>
      </c>
      <c r="D1368">
        <v>196800</v>
      </c>
    </row>
    <row r="1369" spans="1:4" x14ac:dyDescent="0.25">
      <c r="A1369" t="str">
        <f>T("   250100")</f>
        <v xml:space="preserve">   250100</v>
      </c>
      <c r="B1369" t="s">
        <v>63</v>
      </c>
      <c r="C1369">
        <v>5130620</v>
      </c>
      <c r="D1369">
        <v>78213</v>
      </c>
    </row>
    <row r="1370" spans="1:4" x14ac:dyDescent="0.25">
      <c r="A1370" t="str">
        <f>T("   252329")</f>
        <v xml:space="preserve">   252329</v>
      </c>
      <c r="B1370" t="str">
        <f>T("   Ciment Portland normal ou modéré (à l'excl. des ciments Portland blancs, même colorés artificiellement)")</f>
        <v xml:space="preserve">   Ciment Portland normal ou modéré (à l'excl. des ciments Portland blancs, même colorés artificiellement)</v>
      </c>
      <c r="C1370">
        <v>335511500</v>
      </c>
      <c r="D1370">
        <v>5601200</v>
      </c>
    </row>
    <row r="1371" spans="1:4" x14ac:dyDescent="0.25">
      <c r="A1371" t="str">
        <f>T("   271011")</f>
        <v xml:space="preserve">   271011</v>
      </c>
      <c r="B1371"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1371">
        <v>3536628187</v>
      </c>
      <c r="D1371">
        <v>11044126</v>
      </c>
    </row>
    <row r="1372" spans="1:4" x14ac:dyDescent="0.25">
      <c r="A1372" t="str">
        <f>T("   271019")</f>
        <v xml:space="preserve">   271019</v>
      </c>
      <c r="B1372" t="str">
        <f>T("   Huiles moyennes et préparations, de pétrole ou de minéraux bitumineux, n.d.a.")</f>
        <v xml:space="preserve">   Huiles moyennes et préparations, de pétrole ou de minéraux bitumineux, n.d.a.</v>
      </c>
      <c r="C1372">
        <v>2124229976</v>
      </c>
      <c r="D1372">
        <v>17346583</v>
      </c>
    </row>
    <row r="1373" spans="1:4" x14ac:dyDescent="0.25">
      <c r="A1373" t="str">
        <f>T("   271129")</f>
        <v xml:space="preserve">   271129</v>
      </c>
      <c r="B1373" t="str">
        <f>T("   Hydrocarbures à l'état gazeux, n.d.a. (à l'excl. du gaz naturel)")</f>
        <v xml:space="preserve">   Hydrocarbures à l'état gazeux, n.d.a. (à l'excl. du gaz naturel)</v>
      </c>
      <c r="C1373">
        <v>1500000</v>
      </c>
      <c r="D1373">
        <v>6135</v>
      </c>
    </row>
    <row r="1374" spans="1:4" x14ac:dyDescent="0.25">
      <c r="A1374" t="str">
        <f>T("   271320")</f>
        <v xml:space="preserve">   271320</v>
      </c>
      <c r="B1374" t="str">
        <f>T("   Bitume de pétrole")</f>
        <v xml:space="preserve">   Bitume de pétrole</v>
      </c>
      <c r="C1374">
        <v>1412819509</v>
      </c>
      <c r="D1374">
        <v>4431829</v>
      </c>
    </row>
    <row r="1375" spans="1:4" x14ac:dyDescent="0.25">
      <c r="A1375" t="str">
        <f>T("   271500")</f>
        <v xml:space="preserve">   271500</v>
      </c>
      <c r="B1375" t="str">
        <f>T("   Mastics bitumineux, 'cut-backs' et autres mélanges bitumineux à base d'asphalte ou de bitume naturels, de bitume de pétrole, de goudron minéral ou de brai de goudron minéral")</f>
        <v xml:space="preserve">   Mastics bitumineux, 'cut-backs' et autres mélanges bitumineux à base d'asphalte ou de bitume naturels, de bitume de pétrole, de goudron minéral ou de brai de goudron minéral</v>
      </c>
      <c r="C1375">
        <v>4038942</v>
      </c>
      <c r="D1375">
        <v>20220</v>
      </c>
    </row>
    <row r="1376" spans="1:4" x14ac:dyDescent="0.25">
      <c r="A1376" t="str">
        <f>T("   280110")</f>
        <v xml:space="preserve">   280110</v>
      </c>
      <c r="B1376" t="str">
        <f>T("   Chlore")</f>
        <v xml:space="preserve">   Chlore</v>
      </c>
      <c r="C1376">
        <v>8568512</v>
      </c>
      <c r="D1376">
        <v>6600</v>
      </c>
    </row>
    <row r="1377" spans="1:4" x14ac:dyDescent="0.25">
      <c r="A1377" t="str">
        <f>T("   280429")</f>
        <v xml:space="preserve">   280429</v>
      </c>
      <c r="B1377" t="str">
        <f>T("   Gaz rares (à l'excl. de l'argon)")</f>
        <v xml:space="preserve">   Gaz rares (à l'excl. de l'argon)</v>
      </c>
      <c r="C1377">
        <v>6077500</v>
      </c>
      <c r="D1377">
        <v>5200</v>
      </c>
    </row>
    <row r="1378" spans="1:4" x14ac:dyDescent="0.25">
      <c r="A1378" t="str">
        <f>T("   280440")</f>
        <v xml:space="preserve">   280440</v>
      </c>
      <c r="B1378" t="str">
        <f>T("   Oxygène")</f>
        <v xml:space="preserve">   Oxygène</v>
      </c>
      <c r="C1378">
        <v>20573716</v>
      </c>
      <c r="D1378">
        <v>40014</v>
      </c>
    </row>
    <row r="1379" spans="1:4" x14ac:dyDescent="0.25">
      <c r="A1379" t="str">
        <f>T("   280610")</f>
        <v xml:space="preserve">   280610</v>
      </c>
      <c r="B1379" t="str">
        <f>T("   Chlorure d'hydrogène [acide chlorhydrique]")</f>
        <v xml:space="preserve">   Chlorure d'hydrogène [acide chlorhydrique]</v>
      </c>
      <c r="C1379">
        <v>300000</v>
      </c>
      <c r="D1379">
        <v>600</v>
      </c>
    </row>
    <row r="1380" spans="1:4" x14ac:dyDescent="0.25">
      <c r="A1380" t="str">
        <f>T("   282890")</f>
        <v xml:space="preserve">   282890</v>
      </c>
      <c r="B1380" t="str">
        <f>T("   Hypochlorites, chlorites et hypobromites (à l'excl. des hypochlorites de calcium)")</f>
        <v xml:space="preserve">   Hypochlorites, chlorites et hypobromites (à l'excl. des hypochlorites de calcium)</v>
      </c>
      <c r="C1380">
        <v>641304</v>
      </c>
      <c r="D1380">
        <v>2400</v>
      </c>
    </row>
    <row r="1381" spans="1:4" x14ac:dyDescent="0.25">
      <c r="A1381" t="str">
        <f>T("   290110")</f>
        <v xml:space="preserve">   290110</v>
      </c>
      <c r="B1381" t="str">
        <f>T("   Hydrocarbures acycliques, saturés")</f>
        <v xml:space="preserve">   Hydrocarbures acycliques, saturés</v>
      </c>
      <c r="C1381">
        <v>191973683</v>
      </c>
      <c r="D1381">
        <v>146501</v>
      </c>
    </row>
    <row r="1382" spans="1:4" x14ac:dyDescent="0.25">
      <c r="A1382" t="str">
        <f>T("   293610")</f>
        <v xml:space="preserve">   293610</v>
      </c>
      <c r="B1382" t="str">
        <f>T("   Provitamines, non mélangées")</f>
        <v xml:space="preserve">   Provitamines, non mélangées</v>
      </c>
      <c r="C1382">
        <v>917583</v>
      </c>
      <c r="D1382">
        <v>25</v>
      </c>
    </row>
    <row r="1383" spans="1:4" x14ac:dyDescent="0.25">
      <c r="A1383" t="str">
        <f>T("   300490")</f>
        <v xml:space="preserve">   300490</v>
      </c>
      <c r="B1383" t="s">
        <v>80</v>
      </c>
      <c r="C1383">
        <v>5260885</v>
      </c>
      <c r="D1383">
        <v>1325</v>
      </c>
    </row>
    <row r="1384" spans="1:4" x14ac:dyDescent="0.25">
      <c r="A1384" t="str">
        <f>T("   320890")</f>
        <v xml:space="preserve">   320890</v>
      </c>
      <c r="B1384" t="s">
        <v>97</v>
      </c>
      <c r="C1384">
        <v>7338107</v>
      </c>
      <c r="D1384">
        <v>11655</v>
      </c>
    </row>
    <row r="1385" spans="1:4" x14ac:dyDescent="0.25">
      <c r="A1385" t="str">
        <f>T("   320910")</f>
        <v xml:space="preserve">   320910</v>
      </c>
      <c r="B1385" t="str">
        <f>T("   Peintures et vernis à base de polymères acryliques ou vinyliques, dispersés ou dissous dans un milieu aqueux")</f>
        <v xml:space="preserve">   Peintures et vernis à base de polymères acryliques ou vinyliques, dispersés ou dissous dans un milieu aqueux</v>
      </c>
      <c r="C1385">
        <v>7294152</v>
      </c>
      <c r="D1385">
        <v>32336</v>
      </c>
    </row>
    <row r="1386" spans="1:4" x14ac:dyDescent="0.25">
      <c r="A1386" t="str">
        <f>T("   321290")</f>
        <v xml:space="preserve">   321290</v>
      </c>
      <c r="B1386" t="s">
        <v>98</v>
      </c>
      <c r="C1386">
        <v>6123513</v>
      </c>
      <c r="D1386">
        <v>4750</v>
      </c>
    </row>
    <row r="1387" spans="1:4" x14ac:dyDescent="0.25">
      <c r="A1387" t="str">
        <f>T("   321511")</f>
        <v xml:space="preserve">   321511</v>
      </c>
      <c r="B1387" t="str">
        <f>T("   Encres d'imprimerie, noires, même concentrées ou sous formes solides")</f>
        <v xml:space="preserve">   Encres d'imprimerie, noires, même concentrées ou sous formes solides</v>
      </c>
      <c r="C1387">
        <v>3618916</v>
      </c>
      <c r="D1387">
        <v>1056</v>
      </c>
    </row>
    <row r="1388" spans="1:4" x14ac:dyDescent="0.25">
      <c r="A1388" t="str">
        <f>T("   330300")</f>
        <v xml:space="preserve">   330300</v>
      </c>
      <c r="B1388" t="str">
        <f>T("   Parfums et eaux de toilette (à l'excl. des préparations pour l'après-rasage [lotions after-shave] et des désodorisants corporels)")</f>
        <v xml:space="preserve">   Parfums et eaux de toilette (à l'excl. des préparations pour l'après-rasage [lotions after-shave] et des désodorisants corporels)</v>
      </c>
      <c r="C1388">
        <v>16194203</v>
      </c>
      <c r="D1388">
        <v>17187</v>
      </c>
    </row>
    <row r="1389" spans="1:4" x14ac:dyDescent="0.25">
      <c r="A1389" t="str">
        <f>T("   330491")</f>
        <v xml:space="preserve">   330491</v>
      </c>
      <c r="B1389" t="str">
        <f>T("   Poudres pour le maquillage ou l'entretien ou les soins de la peau, y.c. les poudres pour bébés et les poudres compactes (à l'excl. des médicaments)")</f>
        <v xml:space="preserve">   Poudres pour le maquillage ou l'entretien ou les soins de la peau, y.c. les poudres pour bébés et les poudres compactes (à l'excl. des médicaments)</v>
      </c>
      <c r="C1389">
        <v>521143</v>
      </c>
      <c r="D1389">
        <v>824</v>
      </c>
    </row>
    <row r="1390" spans="1:4" x14ac:dyDescent="0.25">
      <c r="A1390" t="str">
        <f>T("   330499")</f>
        <v xml:space="preserve">   330499</v>
      </c>
      <c r="B1390" t="s">
        <v>101</v>
      </c>
      <c r="C1390">
        <v>243163485</v>
      </c>
      <c r="D1390">
        <v>1001477</v>
      </c>
    </row>
    <row r="1391" spans="1:4" x14ac:dyDescent="0.25">
      <c r="A1391" t="str">
        <f>T("   330610")</f>
        <v xml:space="preserve">   330610</v>
      </c>
      <c r="B1391" t="str">
        <f>T("   Dentifrices, préparés, même des types utilisés par les dentistes")</f>
        <v xml:space="preserve">   Dentifrices, préparés, même des types utilisés par les dentistes</v>
      </c>
      <c r="C1391">
        <v>37000000</v>
      </c>
      <c r="D1391">
        <v>283358</v>
      </c>
    </row>
    <row r="1392" spans="1:4" x14ac:dyDescent="0.25">
      <c r="A1392" t="str">
        <f>T("   330720")</f>
        <v xml:space="preserve">   330720</v>
      </c>
      <c r="B1392" t="str">
        <f>T("   Désodorisants corporels et antisudoraux, préparés")</f>
        <v xml:space="preserve">   Désodorisants corporels et antisudoraux, préparés</v>
      </c>
      <c r="C1392">
        <v>2384284</v>
      </c>
      <c r="D1392">
        <v>1104</v>
      </c>
    </row>
    <row r="1393" spans="1:4" x14ac:dyDescent="0.25">
      <c r="A1393" t="str">
        <f>T("   340119")</f>
        <v xml:space="preserve">   340119</v>
      </c>
      <c r="B1393" t="s">
        <v>103</v>
      </c>
      <c r="C1393">
        <v>321556211</v>
      </c>
      <c r="D1393">
        <v>1820730</v>
      </c>
    </row>
    <row r="1394" spans="1:4" x14ac:dyDescent="0.25">
      <c r="A1394" t="str">
        <f>T("   340220")</f>
        <v xml:space="preserve">   340220</v>
      </c>
      <c r="B1394" t="s">
        <v>104</v>
      </c>
      <c r="C1394">
        <v>4000000</v>
      </c>
      <c r="D1394">
        <v>34500</v>
      </c>
    </row>
    <row r="1395" spans="1:4" x14ac:dyDescent="0.25">
      <c r="A1395" t="str">
        <f>T("   340290")</f>
        <v xml:space="preserve">   340290</v>
      </c>
      <c r="B1395" t="s">
        <v>105</v>
      </c>
      <c r="C1395">
        <v>4500000</v>
      </c>
      <c r="D1395">
        <v>24200</v>
      </c>
    </row>
    <row r="1396" spans="1:4" x14ac:dyDescent="0.25">
      <c r="A1396" t="str">
        <f>T("   350699")</f>
        <v xml:space="preserve">   350699</v>
      </c>
      <c r="B1396" t="str">
        <f>T("   Colles et autres adhésifs préparés, n.d.a.")</f>
        <v xml:space="preserve">   Colles et autres adhésifs préparés, n.d.a.</v>
      </c>
      <c r="C1396">
        <v>180000</v>
      </c>
      <c r="D1396">
        <v>350</v>
      </c>
    </row>
    <row r="1397" spans="1:4" x14ac:dyDescent="0.25">
      <c r="A1397" t="str">
        <f>T("   380810")</f>
        <v xml:space="preserve">   380810</v>
      </c>
      <c r="B1397" t="str">
        <f>T("   Insecticides présentés dans des formes ou emballages de vente au détail ou à l'état de préparations ou sous forme d'articles")</f>
        <v xml:space="preserve">   Insecticides présentés dans des formes ou emballages de vente au détail ou à l'état de préparations ou sous forme d'articles</v>
      </c>
      <c r="C1397">
        <v>2931774687</v>
      </c>
      <c r="D1397">
        <v>761101</v>
      </c>
    </row>
    <row r="1398" spans="1:4" x14ac:dyDescent="0.25">
      <c r="A1398" t="str">
        <f>T("   380820")</f>
        <v xml:space="preserve">   380820</v>
      </c>
      <c r="B1398" t="str">
        <f>T("   Fongicides présentés dans des formes ou emballages de vente au détail ou à l'état de préparations ou sous forme d'articles")</f>
        <v xml:space="preserve">   Fongicides présentés dans des formes ou emballages de vente au détail ou à l'état de préparations ou sous forme d'articles</v>
      </c>
      <c r="C1398">
        <v>75332910</v>
      </c>
      <c r="D1398">
        <v>20000</v>
      </c>
    </row>
    <row r="1399" spans="1:4" x14ac:dyDescent="0.25">
      <c r="A1399" t="str">
        <f>T("   380830")</f>
        <v xml:space="preserve">   380830</v>
      </c>
      <c r="B1399" t="str">
        <f>T("   Herbicides, inhibiteurs de germination et régulateurs de croissance pour plantes, présentés dans des formes ou emballages de vente au détail ou à l'état de préparations ou sous forme d'articles")</f>
        <v xml:space="preserve">   Herbicides, inhibiteurs de germination et régulateurs de croissance pour plantes, présentés dans des formes ou emballages de vente au détail ou à l'état de préparations ou sous forme d'articles</v>
      </c>
      <c r="C1399">
        <v>1164166878</v>
      </c>
      <c r="D1399">
        <v>237294</v>
      </c>
    </row>
    <row r="1400" spans="1:4" x14ac:dyDescent="0.25">
      <c r="A1400" t="str">
        <f>T("   380840")</f>
        <v xml:space="preserve">   380840</v>
      </c>
      <c r="B1400" t="str">
        <f>T("   Désinfectants et produits simil., présentés dans des formes ou emballages de vente au détail ou à l'état de préparations ou sous forme d'articles")</f>
        <v xml:space="preserve">   Désinfectants et produits simil., présentés dans des formes ou emballages de vente au détail ou à l'état de préparations ou sous forme d'articles</v>
      </c>
      <c r="C1400">
        <v>2737153</v>
      </c>
      <c r="D1400">
        <v>7985</v>
      </c>
    </row>
    <row r="1401" spans="1:4" x14ac:dyDescent="0.25">
      <c r="A1401" t="str">
        <f>T("   381400")</f>
        <v xml:space="preserve">   381400</v>
      </c>
      <c r="B1401" t="str">
        <f>T("   Solvants et diluants organiques composites, n.d.a.; préparations conçues pour enlever les peintures ou les vernis (à l'excl. des dissolvants pour vernis à ongles)")</f>
        <v xml:space="preserve">   Solvants et diluants organiques composites, n.d.a.; préparations conçues pour enlever les peintures ou les vernis (à l'excl. des dissolvants pour vernis à ongles)</v>
      </c>
      <c r="C1401">
        <v>2207352</v>
      </c>
      <c r="D1401">
        <v>1858</v>
      </c>
    </row>
    <row r="1402" spans="1:4" x14ac:dyDescent="0.25">
      <c r="A1402" t="str">
        <f>T("   390422")</f>
        <v xml:space="preserve">   390422</v>
      </c>
      <c r="B1402" t="str">
        <f>T("   Poly[chlorure de vinyle] sous formes primaires, plastifié, mélangé à d'autres substances")</f>
        <v xml:space="preserve">   Poly[chlorure de vinyle] sous formes primaires, plastifié, mélangé à d'autres substances</v>
      </c>
      <c r="C1402">
        <v>64861162</v>
      </c>
      <c r="D1402">
        <v>80000</v>
      </c>
    </row>
    <row r="1403" spans="1:4" x14ac:dyDescent="0.25">
      <c r="A1403" t="str">
        <f>T("   391721")</f>
        <v xml:space="preserve">   391721</v>
      </c>
      <c r="B1403" t="str">
        <f>T("   TUBES ET TUYAUX RIGIDES, EN POLYMÈRES DE L'ÉTHYLÈNE")</f>
        <v xml:space="preserve">   TUBES ET TUYAUX RIGIDES, EN POLYMÈRES DE L'ÉTHYLÈNE</v>
      </c>
      <c r="C1403">
        <v>6501115</v>
      </c>
      <c r="D1403">
        <v>5679</v>
      </c>
    </row>
    <row r="1404" spans="1:4" x14ac:dyDescent="0.25">
      <c r="A1404" t="str">
        <f>T("   391722")</f>
        <v xml:space="preserve">   391722</v>
      </c>
      <c r="B1404" t="str">
        <f>T("   TUBES ET TUYAUX RIGIDES, EN POLYMÈRES DU PROPYLÈNE")</f>
        <v xml:space="preserve">   TUBES ET TUYAUX RIGIDES, EN POLYMÈRES DU PROPYLÈNE</v>
      </c>
      <c r="C1404">
        <v>1629278</v>
      </c>
      <c r="D1404">
        <v>1127</v>
      </c>
    </row>
    <row r="1405" spans="1:4" x14ac:dyDescent="0.25">
      <c r="A1405" t="str">
        <f>T("   391723")</f>
        <v xml:space="preserve">   391723</v>
      </c>
      <c r="B1405" t="str">
        <f>T("   TUBES ET TUYAUX RIGIDES, EN POLYMÈRES DU CHLORURE DE VINYLE")</f>
        <v xml:space="preserve">   TUBES ET TUYAUX RIGIDES, EN POLYMÈRES DU CHLORURE DE VINYLE</v>
      </c>
      <c r="C1405">
        <v>47725401</v>
      </c>
      <c r="D1405">
        <v>67191</v>
      </c>
    </row>
    <row r="1406" spans="1:4" x14ac:dyDescent="0.25">
      <c r="A1406" t="str">
        <f>T("   391740")</f>
        <v xml:space="preserve">   391740</v>
      </c>
      <c r="B1406" t="str">
        <f>T("   Accessoires pour tubes ou tuyaux [joints, coudes, raccords, par exemple], en matières plastiques")</f>
        <v xml:space="preserve">   Accessoires pour tubes ou tuyaux [joints, coudes, raccords, par exemple], en matières plastiques</v>
      </c>
      <c r="C1406">
        <v>51862897</v>
      </c>
      <c r="D1406">
        <v>48967</v>
      </c>
    </row>
    <row r="1407" spans="1:4" x14ac:dyDescent="0.25">
      <c r="A1407" t="str">
        <f>T("   392010")</f>
        <v xml:space="preserve">   392010</v>
      </c>
      <c r="B1407" t="s">
        <v>134</v>
      </c>
      <c r="C1407">
        <v>24800000</v>
      </c>
      <c r="D1407">
        <v>16255</v>
      </c>
    </row>
    <row r="1408" spans="1:4" x14ac:dyDescent="0.25">
      <c r="A1408" t="str">
        <f>T("   392310")</f>
        <v xml:space="preserve">   392310</v>
      </c>
      <c r="B1408" t="str">
        <f>T("   Boîtes, caisses, casiers et articles simil. pour le transport ou l'emballage, en matières plastiques")</f>
        <v xml:space="preserve">   Boîtes, caisses, casiers et articles simil. pour le transport ou l'emballage, en matières plastiques</v>
      </c>
      <c r="C1408">
        <v>38883001</v>
      </c>
      <c r="D1408">
        <v>45284</v>
      </c>
    </row>
    <row r="1409" spans="1:4" x14ac:dyDescent="0.25">
      <c r="A1409" t="str">
        <f>T("   392321")</f>
        <v xml:space="preserve">   392321</v>
      </c>
      <c r="B1409" t="str">
        <f>T("   Sacs, sachets, pochettes et cornets, en polymères de l'éthylène")</f>
        <v xml:space="preserve">   Sacs, sachets, pochettes et cornets, en polymères de l'éthylène</v>
      </c>
      <c r="C1409">
        <v>327727845</v>
      </c>
      <c r="D1409">
        <v>166518</v>
      </c>
    </row>
    <row r="1410" spans="1:4" x14ac:dyDescent="0.25">
      <c r="A1410" t="str">
        <f>T("   392329")</f>
        <v xml:space="preserve">   392329</v>
      </c>
      <c r="B1410" t="str">
        <f>T("   Sacs, sachets, pochettes et cornets, en matières plastiques (autres que les polymères de l'éthylène)")</f>
        <v xml:space="preserve">   Sacs, sachets, pochettes et cornets, en matières plastiques (autres que les polymères de l'éthylène)</v>
      </c>
      <c r="C1410">
        <v>610874</v>
      </c>
      <c r="D1410">
        <v>2110</v>
      </c>
    </row>
    <row r="1411" spans="1:4" x14ac:dyDescent="0.25">
      <c r="A1411" t="str">
        <f>T("   392330")</f>
        <v xml:space="preserve">   392330</v>
      </c>
      <c r="B1411" t="str">
        <f>T("   Bonbonnes, bouteilles, flacons et articles simil. pour le transport ou l'emballage, en matières plastiques")</f>
        <v xml:space="preserve">   Bonbonnes, bouteilles, flacons et articles simil. pour le transport ou l'emballage, en matières plastiques</v>
      </c>
      <c r="C1411">
        <v>845542377</v>
      </c>
      <c r="D1411">
        <v>594396</v>
      </c>
    </row>
    <row r="1412" spans="1:4" x14ac:dyDescent="0.25">
      <c r="A1412" t="str">
        <f>T("   392390")</f>
        <v xml:space="preserve">   392390</v>
      </c>
      <c r="B1412" t="s">
        <v>150</v>
      </c>
      <c r="C1412">
        <v>200000</v>
      </c>
      <c r="D1412">
        <v>439</v>
      </c>
    </row>
    <row r="1413" spans="1:4" x14ac:dyDescent="0.25">
      <c r="A1413" t="str">
        <f>T("   392410")</f>
        <v xml:space="preserve">   392410</v>
      </c>
      <c r="B1413" t="str">
        <f>T("   Vaisselle et autres articles pour le service de la table ou de la cuisine, en matières plastiques")</f>
        <v xml:space="preserve">   Vaisselle et autres articles pour le service de la table ou de la cuisine, en matières plastiques</v>
      </c>
      <c r="C1413">
        <v>5805000</v>
      </c>
      <c r="D1413">
        <v>1790</v>
      </c>
    </row>
    <row r="1414" spans="1:4" x14ac:dyDescent="0.25">
      <c r="A1414" t="str">
        <f>T("   392490")</f>
        <v xml:space="preserve">   392490</v>
      </c>
      <c r="B1414" t="s">
        <v>151</v>
      </c>
      <c r="C1414">
        <v>61698862</v>
      </c>
      <c r="D1414">
        <v>34273</v>
      </c>
    </row>
    <row r="1415" spans="1:4" x14ac:dyDescent="0.25">
      <c r="A1415" t="str">
        <f>T("   401120")</f>
        <v xml:space="preserve">   401120</v>
      </c>
      <c r="B1415"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1415">
        <v>12300000</v>
      </c>
      <c r="D1415">
        <v>48950</v>
      </c>
    </row>
    <row r="1416" spans="1:4" x14ac:dyDescent="0.25">
      <c r="A1416" t="str">
        <f>T("   401211")</f>
        <v xml:space="preserve">   401211</v>
      </c>
      <c r="B1416" t="str">
        <f>T("   Pneumatiques rechapés, en caoutchouc, des types utilisés pour les voitures de tourisme, y.c. les voitures du type 'break' et les voitures de course")</f>
        <v xml:space="preserve">   Pneumatiques rechapés, en caoutchouc, des types utilisés pour les voitures de tourisme, y.c. les voitures du type 'break' et les voitures de course</v>
      </c>
      <c r="C1416">
        <v>8892000</v>
      </c>
      <c r="D1416">
        <v>19500</v>
      </c>
    </row>
    <row r="1417" spans="1:4" x14ac:dyDescent="0.25">
      <c r="A1417" t="str">
        <f>T("   401220")</f>
        <v xml:space="preserve">   401220</v>
      </c>
      <c r="B1417" t="str">
        <f>T("   Pneumatiques usagés, en caoutchouc")</f>
        <v xml:space="preserve">   Pneumatiques usagés, en caoutchouc</v>
      </c>
      <c r="C1417">
        <v>16785361</v>
      </c>
      <c r="D1417">
        <v>35010</v>
      </c>
    </row>
    <row r="1418" spans="1:4" x14ac:dyDescent="0.25">
      <c r="A1418" t="str">
        <f>T("   401693")</f>
        <v xml:space="preserve">   401693</v>
      </c>
      <c r="B1418" t="str">
        <f>T("   Joints en caoutchouc vulcanisé non durci (à l'excl. des articles en caoutchouc alvéolaire)")</f>
        <v xml:space="preserve">   Joints en caoutchouc vulcanisé non durci (à l'excl. des articles en caoutchouc alvéolaire)</v>
      </c>
      <c r="C1418">
        <v>52982</v>
      </c>
      <c r="D1418">
        <v>1</v>
      </c>
    </row>
    <row r="1419" spans="1:4" x14ac:dyDescent="0.25">
      <c r="A1419" t="str">
        <f>T("   420211")</f>
        <v xml:space="preserve">   420211</v>
      </c>
      <c r="B1419" t="str">
        <f>T("   Malles, valises et mallettes, y.c. les mallettes de toilette et les mallettes porte-documents, serviettes, cartables et contenants simil., à surface extérieure en cuir naturel, en cuir reconstitué ou en cuir verni")</f>
        <v xml:space="preserve">   Malles, valises et mallettes, y.c. les mallettes de toilette et les mallettes porte-documents, serviettes, cartables et contenants simil., à surface extérieure en cuir naturel, en cuir reconstitué ou en cuir verni</v>
      </c>
      <c r="C1419">
        <v>5590000</v>
      </c>
      <c r="D1419">
        <v>240</v>
      </c>
    </row>
    <row r="1420" spans="1:4" x14ac:dyDescent="0.25">
      <c r="A1420" t="str">
        <f>T("   420229")</f>
        <v xml:space="preserve">   420229</v>
      </c>
      <c r="B1420"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1420">
        <v>1209500</v>
      </c>
      <c r="D1420">
        <v>7190</v>
      </c>
    </row>
    <row r="1421" spans="1:4" x14ac:dyDescent="0.25">
      <c r="A1421" t="str">
        <f>T("   420299")</f>
        <v xml:space="preserve">   420299</v>
      </c>
      <c r="B1421" t="s">
        <v>165</v>
      </c>
      <c r="C1421">
        <v>500000</v>
      </c>
      <c r="D1421">
        <v>1000</v>
      </c>
    </row>
    <row r="1422" spans="1:4" x14ac:dyDescent="0.25">
      <c r="A1422" t="str">
        <f>T("   440122")</f>
        <v xml:space="preserve">   440122</v>
      </c>
      <c r="B1422" t="str">
        <f>T("   Bois en plaquettes ou en particules (à l'excl. des bois de conifères et des bois des espèces utilisées principalement pour la teinture ou le tannage)")</f>
        <v xml:space="preserve">   Bois en plaquettes ou en particules (à l'excl. des bois de conifères et des bois des espèces utilisées principalement pour la teinture ou le tannage)</v>
      </c>
      <c r="C1422">
        <v>17677982</v>
      </c>
      <c r="D1422">
        <v>77000</v>
      </c>
    </row>
    <row r="1423" spans="1:4" x14ac:dyDescent="0.25">
      <c r="A1423" t="str">
        <f>T("   441213")</f>
        <v xml:space="preserve">   441213</v>
      </c>
      <c r="B1423" t="s">
        <v>182</v>
      </c>
      <c r="C1423">
        <v>30391972</v>
      </c>
      <c r="D1423">
        <v>148940</v>
      </c>
    </row>
    <row r="1424" spans="1:4" x14ac:dyDescent="0.25">
      <c r="A1424" t="str">
        <f>T("   441219")</f>
        <v xml:space="preserve">   441219</v>
      </c>
      <c r="B1424" t="s">
        <v>183</v>
      </c>
      <c r="C1424">
        <v>121758800</v>
      </c>
      <c r="D1424">
        <v>328377</v>
      </c>
    </row>
    <row r="1425" spans="1:4" x14ac:dyDescent="0.25">
      <c r="A1425" t="str">
        <f>T("   441223")</f>
        <v xml:space="preserve">   441223</v>
      </c>
      <c r="B1425" t="s">
        <v>184</v>
      </c>
      <c r="C1425">
        <v>11904245</v>
      </c>
      <c r="D1425">
        <v>27759</v>
      </c>
    </row>
    <row r="1426" spans="1:4" x14ac:dyDescent="0.25">
      <c r="A1426" t="str">
        <f>T("   441820")</f>
        <v xml:space="preserve">   441820</v>
      </c>
      <c r="B1426" t="str">
        <f>T("   Portes et leurs cadres, chambranles et seuils, en bois")</f>
        <v xml:space="preserve">   Portes et leurs cadres, chambranles et seuils, en bois</v>
      </c>
      <c r="C1426">
        <v>2562890</v>
      </c>
      <c r="D1426">
        <v>5506</v>
      </c>
    </row>
    <row r="1427" spans="1:4" x14ac:dyDescent="0.25">
      <c r="A1427" t="str">
        <f>T("   481840")</f>
        <v xml:space="preserve">   481840</v>
      </c>
      <c r="B1427"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1427">
        <v>4000000</v>
      </c>
      <c r="D1427">
        <v>1014460</v>
      </c>
    </row>
    <row r="1428" spans="1:4" x14ac:dyDescent="0.25">
      <c r="A1428" t="str">
        <f>T("   481910")</f>
        <v xml:space="preserve">   481910</v>
      </c>
      <c r="B1428" t="str">
        <f>T("   Boîtes et caisses en papier ou en carton ondulé")</f>
        <v xml:space="preserve">   Boîtes et caisses en papier ou en carton ondulé</v>
      </c>
      <c r="C1428">
        <v>1828500</v>
      </c>
      <c r="D1428">
        <v>17862</v>
      </c>
    </row>
    <row r="1429" spans="1:4" x14ac:dyDescent="0.25">
      <c r="A1429" t="str">
        <f>T("   481940")</f>
        <v xml:space="preserve">   481940</v>
      </c>
      <c r="B1429" t="str">
        <f>T("   Sacs, sachets, pochettes et cornets, en papier, carton, ouate de cellulose ou nappes de fibres de cellulose (à l'excl. des pochettes pour disques et des sacs d'une largeur à la base &gt;= 40 cm)")</f>
        <v xml:space="preserve">   Sacs, sachets, pochettes et cornets, en papier, carton, ouate de cellulose ou nappes de fibres de cellulose (à l'excl. des pochettes pour disques et des sacs d'une largeur à la base &gt;= 40 cm)</v>
      </c>
      <c r="C1429">
        <v>500000</v>
      </c>
      <c r="D1429">
        <v>2025</v>
      </c>
    </row>
    <row r="1430" spans="1:4" x14ac:dyDescent="0.25">
      <c r="A1430" t="str">
        <f>T("   482010")</f>
        <v xml:space="preserve">   482010</v>
      </c>
      <c r="B1430" t="str">
        <f>T("   Registres, livres comptables, carnets de notes, de commandes ou de quittances, blocs-mémorandums, blocs de papier à lettres, agendas et ouvrages simil., en papier ou carton")</f>
        <v xml:space="preserve">   Registres, livres comptables, carnets de notes, de commandes ou de quittances, blocs-mémorandums, blocs de papier à lettres, agendas et ouvrages simil., en papier ou carton</v>
      </c>
      <c r="C1430">
        <v>36000</v>
      </c>
      <c r="D1430">
        <v>17</v>
      </c>
    </row>
    <row r="1431" spans="1:4" x14ac:dyDescent="0.25">
      <c r="A1431" t="str">
        <f>T("   490110")</f>
        <v xml:space="preserve">   490110</v>
      </c>
      <c r="B1431" t="str">
        <f>T("   Livres, brochures et imprimés simil., en feuillets isolés, même pliés (à l'excl. des publications périodiques et des publications à usages principalement publicitaires)")</f>
        <v xml:space="preserve">   Livres, brochures et imprimés simil., en feuillets isolés, même pliés (à l'excl. des publications périodiques et des publications à usages principalement publicitaires)</v>
      </c>
      <c r="C1431">
        <v>672200</v>
      </c>
      <c r="D1431">
        <v>1115</v>
      </c>
    </row>
    <row r="1432" spans="1:4" x14ac:dyDescent="0.25">
      <c r="A1432" t="str">
        <f>T("   490199")</f>
        <v xml:space="preserve">   490199</v>
      </c>
      <c r="B1432"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1432">
        <v>937451</v>
      </c>
      <c r="D1432">
        <v>1135</v>
      </c>
    </row>
    <row r="1433" spans="1:4" x14ac:dyDescent="0.25">
      <c r="A1433" t="str">
        <f>T("   490700")</f>
        <v xml:space="preserve">   490700</v>
      </c>
      <c r="B1433" t="s">
        <v>221</v>
      </c>
      <c r="C1433">
        <v>55336923</v>
      </c>
      <c r="D1433">
        <v>10748</v>
      </c>
    </row>
    <row r="1434" spans="1:4" x14ac:dyDescent="0.25">
      <c r="A1434" t="str">
        <f>T("   491110")</f>
        <v xml:space="preserve">   491110</v>
      </c>
      <c r="B1434" t="str">
        <f>T("   Imprimés publicitaires, catalogues commerciaux et simil.")</f>
        <v xml:space="preserve">   Imprimés publicitaires, catalogues commerciaux et simil.</v>
      </c>
      <c r="C1434">
        <v>645925</v>
      </c>
      <c r="D1434">
        <v>758</v>
      </c>
    </row>
    <row r="1435" spans="1:4" x14ac:dyDescent="0.25">
      <c r="A1435" t="str">
        <f>T("   491191")</f>
        <v xml:space="preserve">   491191</v>
      </c>
      <c r="B1435" t="str">
        <f>T("   Images, gravures et photographies, n.d.a.")</f>
        <v xml:space="preserve">   Images, gravures et photographies, n.d.a.</v>
      </c>
      <c r="C1435">
        <v>88375</v>
      </c>
      <c r="D1435">
        <v>66</v>
      </c>
    </row>
    <row r="1436" spans="1:4" x14ac:dyDescent="0.25">
      <c r="A1436" t="str">
        <f>T("   520420")</f>
        <v xml:space="preserve">   520420</v>
      </c>
      <c r="B1436" t="str">
        <f>T("   Fils à coudre de coton, conditionnés pour la vente au détail")</f>
        <v xml:space="preserve">   Fils à coudre de coton, conditionnés pour la vente au détail</v>
      </c>
      <c r="C1436">
        <v>87200000</v>
      </c>
      <c r="D1436">
        <v>584402</v>
      </c>
    </row>
    <row r="1437" spans="1:4" x14ac:dyDescent="0.25">
      <c r="A1437" t="str">
        <f>T("   520852")</f>
        <v xml:space="preserve">   520852</v>
      </c>
      <c r="B1437" t="str">
        <f>T("   Tissus de coton, imprimés, à armure toile, contenant &gt;= 85% en poids de coton, d'un poids &gt; 100 g/m² mais &lt;= 200 g/m²")</f>
        <v xml:space="preserve">   Tissus de coton, imprimés, à armure toile, contenant &gt;= 85% en poids de coton, d'un poids &gt; 100 g/m² mais &lt;= 200 g/m²</v>
      </c>
      <c r="C1437">
        <v>3386825141</v>
      </c>
      <c r="D1437">
        <v>400539</v>
      </c>
    </row>
    <row r="1438" spans="1:4" x14ac:dyDescent="0.25">
      <c r="A1438" t="str">
        <f>T("   520951")</f>
        <v xml:space="preserve">   520951</v>
      </c>
      <c r="B1438" t="str">
        <f>T("   Tissus de coton, imprimés, à armure toile, contenant &gt;= 85% en poids de coton, d'un poids &gt; 200 g/m²")</f>
        <v xml:space="preserve">   Tissus de coton, imprimés, à armure toile, contenant &gt;= 85% en poids de coton, d'un poids &gt; 200 g/m²</v>
      </c>
      <c r="C1438">
        <v>8703065</v>
      </c>
      <c r="D1438">
        <v>1996</v>
      </c>
    </row>
    <row r="1439" spans="1:4" x14ac:dyDescent="0.25">
      <c r="A1439" t="str">
        <f>T("   560749")</f>
        <v xml:space="preserve">   560749</v>
      </c>
      <c r="B1439" t="str">
        <f>T("   Ficelles, cordes et cordages, de polyéthylène ou de polypropylène, tressés ou non, même imprégnés, enduits, recouverts ou gainés de caoutchouc ou de matière plastique (à l'excl. les ficelles lieuses ou botteleuses)")</f>
        <v xml:space="preserve">   Ficelles, cordes et cordages, de polyéthylène ou de polypropylène, tressés ou non, même imprégnés, enduits, recouverts ou gainés de caoutchouc ou de matière plastique (à l'excl. les ficelles lieuses ou botteleuses)</v>
      </c>
      <c r="C1439">
        <v>7908185</v>
      </c>
      <c r="D1439">
        <v>4850</v>
      </c>
    </row>
    <row r="1440" spans="1:4" x14ac:dyDescent="0.25">
      <c r="A1440" t="str">
        <f>T("   570190")</f>
        <v xml:space="preserve">   570190</v>
      </c>
      <c r="B1440" t="str">
        <f>T("   Tapis en matières textiles, à points noués ou enroulés, même confectionnés (à l'excl. des tapis de laine ou de poils fins)")</f>
        <v xml:space="preserve">   Tapis en matières textiles, à points noués ou enroulés, même confectionnés (à l'excl. des tapis de laine ou de poils fins)</v>
      </c>
      <c r="C1440">
        <v>600450</v>
      </c>
      <c r="D1440">
        <v>60</v>
      </c>
    </row>
    <row r="1441" spans="1:4" x14ac:dyDescent="0.25">
      <c r="A1441" t="str">
        <f>T("   610329")</f>
        <v xml:space="preserve">   610329</v>
      </c>
      <c r="B1441" t="str">
        <f>T("   Ensembles en bonneterie, de matières textiles, pour hommes et garçonnets (sauf de laine, poils fins, coton, fibres synthétiques et sauf ensembles de ski, maillots, culottes et slips de bain)")</f>
        <v xml:space="preserve">   Ensembles en bonneterie, de matières textiles, pour hommes et garçonnets (sauf de laine, poils fins, coton, fibres synthétiques et sauf ensembles de ski, maillots, culottes et slips de bain)</v>
      </c>
      <c r="C1441">
        <v>9457754</v>
      </c>
      <c r="D1441">
        <v>439</v>
      </c>
    </row>
    <row r="1442" spans="1:4" x14ac:dyDescent="0.25">
      <c r="A1442" t="str">
        <f>T("   610349")</f>
        <v xml:space="preserve">   610349</v>
      </c>
      <c r="B1442" t="str">
        <f>T("   PANTALONS, Y.C. KNICKERS ET PANTALONS SIMIL., SALOPETTES À BRETELLES, CULOTTES ET SHORTS, EN BONNETERIE, DE MATIÈRES TEXTILES, POUR HOMMES OU GARÇONNETS (SAUF DE LAINE, POILS FINS, COTON OU FIBRES SYNTHÉTIQUES ET SAUF CALETHONS ET SLIPS DE BAIN)")</f>
        <v xml:space="preserve">   PANTALONS, Y.C. KNICKERS ET PANTALONS SIMIL., SALOPETTES À BRETELLES, CULOTTES ET SHORTS, EN BONNETERIE, DE MATIÈRES TEXTILES, POUR HOMMES OU GARÇONNETS (SAUF DE LAINE, POILS FINS, COTON OU FIBRES SYNTHÉTIQUES ET SAUF CALETHONS ET SLIPS DE BAIN)</v>
      </c>
      <c r="C1442">
        <v>34737</v>
      </c>
      <c r="D1442">
        <v>66</v>
      </c>
    </row>
    <row r="1443" spans="1:4" x14ac:dyDescent="0.25">
      <c r="A1443" t="str">
        <f>T("   610510")</f>
        <v xml:space="preserve">   610510</v>
      </c>
      <c r="B1443" t="str">
        <f>T("   Chemises et chemisettes, en bonneterie, de coton, pour hommes ou garçonnets (sauf chemises de nuit, T-shirts et maillots de corps)")</f>
        <v xml:space="preserve">   Chemises et chemisettes, en bonneterie, de coton, pour hommes ou garçonnets (sauf chemises de nuit, T-shirts et maillots de corps)</v>
      </c>
      <c r="C1443">
        <v>5191657</v>
      </c>
      <c r="D1443">
        <v>255</v>
      </c>
    </row>
    <row r="1444" spans="1:4" x14ac:dyDescent="0.25">
      <c r="A1444" t="str">
        <f>T("   610620")</f>
        <v xml:space="preserve">   610620</v>
      </c>
      <c r="B1444" t="str">
        <f>T("   Chemisiers, blouses, blouses-chemisiers et chemisettes, en bonneterie, de fibres synthétiques ou artificielles, pour femmes ou fillettes (sauf T-shirts et gilets de corps)")</f>
        <v xml:space="preserve">   Chemisiers, blouses, blouses-chemisiers et chemisettes, en bonneterie, de fibres synthétiques ou artificielles, pour femmes ou fillettes (sauf T-shirts et gilets de corps)</v>
      </c>
      <c r="C1444">
        <v>1796834</v>
      </c>
      <c r="D1444">
        <v>82</v>
      </c>
    </row>
    <row r="1445" spans="1:4" x14ac:dyDescent="0.25">
      <c r="A1445" t="str">
        <f>T("   610690")</f>
        <v xml:space="preserve">   610690</v>
      </c>
      <c r="B1445" t="str">
        <f>T("   Chemisiers, blouses, blouses-chemisiers et chemisettes, en bonneterie, de matières textiles, pour femmes ou fillettes (sauf de coton, fibres synthétiques ou artificielles et sauf T-shirts et gilets de corps)")</f>
        <v xml:space="preserve">   Chemisiers, blouses, blouses-chemisiers et chemisettes, en bonneterie, de matières textiles, pour femmes ou fillettes (sauf de coton, fibres synthétiques ou artificielles et sauf T-shirts et gilets de corps)</v>
      </c>
      <c r="C1445">
        <v>3421855</v>
      </c>
      <c r="D1445">
        <v>132</v>
      </c>
    </row>
    <row r="1446" spans="1:4" x14ac:dyDescent="0.25">
      <c r="A1446" t="str">
        <f>T("   610819")</f>
        <v xml:space="preserve">   610819</v>
      </c>
      <c r="B1446" t="str">
        <f>T("   Combinaisons ou fonds de robes et jupons, en bonneterie, de matières textiles, pour femmes ou fillettes (sauf de fibres synthétiques ou artificielles et sauf T-shirts et gilets de corps)")</f>
        <v xml:space="preserve">   Combinaisons ou fonds de robes et jupons, en bonneterie, de matières textiles, pour femmes ou fillettes (sauf de fibres synthétiques ou artificielles et sauf T-shirts et gilets de corps)</v>
      </c>
      <c r="C1446">
        <v>978730</v>
      </c>
      <c r="D1446">
        <v>46</v>
      </c>
    </row>
    <row r="1447" spans="1:4" x14ac:dyDescent="0.25">
      <c r="A1447" t="str">
        <f>T("   610910")</f>
        <v xml:space="preserve">   610910</v>
      </c>
      <c r="B1447" t="str">
        <f>T("   T-shirts et maillots de corps, en bonneterie, de coton,")</f>
        <v xml:space="preserve">   T-shirts et maillots de corps, en bonneterie, de coton,</v>
      </c>
      <c r="C1447">
        <v>8169323</v>
      </c>
      <c r="D1447">
        <v>544</v>
      </c>
    </row>
    <row r="1448" spans="1:4" x14ac:dyDescent="0.25">
      <c r="A1448" t="str">
        <f>T("   610990")</f>
        <v xml:space="preserve">   610990</v>
      </c>
      <c r="B1448" t="str">
        <f>T("   T-shirts et maillots de corps, en bonneterie, de matières textiles (sauf de coton)")</f>
        <v xml:space="preserve">   T-shirts et maillots de corps, en bonneterie, de matières textiles (sauf de coton)</v>
      </c>
      <c r="C1448">
        <v>1505000</v>
      </c>
      <c r="D1448">
        <v>10680</v>
      </c>
    </row>
    <row r="1449" spans="1:4" x14ac:dyDescent="0.25">
      <c r="A1449" t="str">
        <f>T("   611420")</f>
        <v xml:space="preserve">   611420</v>
      </c>
      <c r="B1449" t="str">
        <f>T("   Vêtements spéciaux destinés à des fins professionnelles, sportives ou autres n.d.a., en bonneterie, de coton")</f>
        <v xml:space="preserve">   Vêtements spéciaux destinés à des fins professionnelles, sportives ou autres n.d.a., en bonneterie, de coton</v>
      </c>
      <c r="C1449">
        <v>758817</v>
      </c>
      <c r="D1449">
        <v>36</v>
      </c>
    </row>
    <row r="1450" spans="1:4" x14ac:dyDescent="0.25">
      <c r="A1450" t="str">
        <f>T("   611430")</f>
        <v xml:space="preserve">   611430</v>
      </c>
      <c r="B1450" t="str">
        <f>T("   Vêtements spéciaux destinés à des fins professionnelles, sportives ou autres n.d.a., en bonneterie, de fibres synthétiques ou artificielles")</f>
        <v xml:space="preserve">   Vêtements spéciaux destinés à des fins professionnelles, sportives ou autres n.d.a., en bonneterie, de fibres synthétiques ou artificielles</v>
      </c>
      <c r="C1450">
        <v>379036</v>
      </c>
      <c r="D1450">
        <v>18</v>
      </c>
    </row>
    <row r="1451" spans="1:4" x14ac:dyDescent="0.25">
      <c r="A1451" t="str">
        <f>T("   620342")</f>
        <v xml:space="preserve">   620342</v>
      </c>
      <c r="B1451" t="str">
        <f>T("   Pantalons, y.c. knickers et pantalons simil., salopettes à bretelles, culottes et shorts, de coton, pour hommes ou garçonnets (autres qu'en bonneterie et sauf slips et caleçons ainsi que maillots, culottes et slips de bain)")</f>
        <v xml:space="preserve">   Pantalons, y.c. knickers et pantalons simil., salopettes à bretelles, culottes et shorts, de coton, pour hommes ou garçonnets (autres qu'en bonneterie et sauf slips et caleçons ainsi que maillots, culottes et slips de bain)</v>
      </c>
      <c r="C1451">
        <v>5476256</v>
      </c>
      <c r="D1451">
        <v>420</v>
      </c>
    </row>
    <row r="1452" spans="1:4" x14ac:dyDescent="0.25">
      <c r="A1452" t="str">
        <f>T("   620439")</f>
        <v xml:space="preserve">   620439</v>
      </c>
      <c r="B1452" t="str">
        <f>T("   Vestes de matières textiles, pour femmes ou fillettes (autres que laine, poils fins, coton ou fibres synthétiques, autres qu'en bonneterie et sauf anoraks et articles simil.)")</f>
        <v xml:space="preserve">   Vestes de matières textiles, pour femmes ou fillettes (autres que laine, poils fins, coton ou fibres synthétiques, autres qu'en bonneterie et sauf anoraks et articles simil.)</v>
      </c>
      <c r="C1452">
        <v>1222299</v>
      </c>
      <c r="D1452">
        <v>58</v>
      </c>
    </row>
    <row r="1453" spans="1:4" x14ac:dyDescent="0.25">
      <c r="A1453" t="str">
        <f>T("   620452")</f>
        <v xml:space="preserve">   620452</v>
      </c>
      <c r="B1453" t="str">
        <f>T("   Jupes et jupes-culottes, de coton, pour femmes ou fillettes (autres qu'en bonneterie et sauf jupons)")</f>
        <v xml:space="preserve">   Jupes et jupes-culottes, de coton, pour femmes ou fillettes (autres qu'en bonneterie et sauf jupons)</v>
      </c>
      <c r="C1453">
        <v>2803462</v>
      </c>
      <c r="D1453">
        <v>15</v>
      </c>
    </row>
    <row r="1454" spans="1:4" x14ac:dyDescent="0.25">
      <c r="A1454" t="str">
        <f>T("   620462")</f>
        <v xml:space="preserve">   620462</v>
      </c>
      <c r="B1454" t="str">
        <f>T("   Pantalons, y.c. knickers et pantalons simil., salopettes à bretelles, culottes et shorts, de coton, pour femmes ou fillettes (autres qu'en bonneterie et sauf slips et maillots, culottes et slips de bain)")</f>
        <v xml:space="preserve">   Pantalons, y.c. knickers et pantalons simil., salopettes à bretelles, culottes et shorts, de coton, pour femmes ou fillettes (autres qu'en bonneterie et sauf slips et maillots, culottes et slips de bain)</v>
      </c>
      <c r="C1454">
        <v>3135694</v>
      </c>
      <c r="D1454">
        <v>148</v>
      </c>
    </row>
    <row r="1455" spans="1:4" x14ac:dyDescent="0.25">
      <c r="A1455" t="str">
        <f>T("   620520")</f>
        <v xml:space="preserve">   620520</v>
      </c>
      <c r="B1455" t="str">
        <f>T("   Chemises et chemisettes, de coton, pour hommes ou garçonnets (autres qu'en bonneterie et sauf chemises de nuit et gilets de corps)")</f>
        <v xml:space="preserve">   Chemises et chemisettes, de coton, pour hommes ou garçonnets (autres qu'en bonneterie et sauf chemises de nuit et gilets de corps)</v>
      </c>
      <c r="C1455">
        <v>2529184</v>
      </c>
      <c r="D1455">
        <v>118</v>
      </c>
    </row>
    <row r="1456" spans="1:4" x14ac:dyDescent="0.25">
      <c r="A1456" t="str">
        <f>T("   620590")</f>
        <v xml:space="preserve">   620590</v>
      </c>
      <c r="B1456"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456">
        <v>500000</v>
      </c>
      <c r="D1456">
        <v>800</v>
      </c>
    </row>
    <row r="1457" spans="1:4" x14ac:dyDescent="0.25">
      <c r="A1457" t="str">
        <f>T("   620630")</f>
        <v xml:space="preserve">   620630</v>
      </c>
      <c r="B1457" t="str">
        <f>T("   Chemisiers, blouses, blouses-chemisiers et chemisettes, de coton, pour femmes ou fillettes (autres qu'en bonneterie et sauf gilets de corps et chemises de jour)")</f>
        <v xml:space="preserve">   Chemisiers, blouses, blouses-chemisiers et chemisettes, de coton, pour femmes ou fillettes (autres qu'en bonneterie et sauf gilets de corps et chemises de jour)</v>
      </c>
      <c r="C1457">
        <v>3998754</v>
      </c>
      <c r="D1457">
        <v>188</v>
      </c>
    </row>
    <row r="1458" spans="1:4" x14ac:dyDescent="0.25">
      <c r="A1458" t="str">
        <f>T("   630419")</f>
        <v xml:space="preserve">   630419</v>
      </c>
      <c r="B1458" t="str">
        <f>T("   Couvre-lits en tous types de matières textiles (autres qu'en bonneterie et sauf linge de lit, couvre-pieds et édredons)")</f>
        <v xml:space="preserve">   Couvre-lits en tous types de matières textiles (autres qu'en bonneterie et sauf linge de lit, couvre-pieds et édredons)</v>
      </c>
      <c r="C1458">
        <v>855372</v>
      </c>
      <c r="D1458">
        <v>170</v>
      </c>
    </row>
    <row r="1459" spans="1:4" x14ac:dyDescent="0.25">
      <c r="A1459" t="str">
        <f>T("   630533")</f>
        <v xml:space="preserve">   630533</v>
      </c>
      <c r="B1459" t="str">
        <f>T("   Sacs et sachets d'emballage obtenus à partir de lames ou formes simil., de polyéthylène ou polypropylène (à l'excl. des contenants souples pour matières en vrac)")</f>
        <v xml:space="preserve">   Sacs et sachets d'emballage obtenus à partir de lames ou formes simil., de polyéthylène ou polypropylène (à l'excl. des contenants souples pour matières en vrac)</v>
      </c>
      <c r="C1459">
        <v>195842156</v>
      </c>
      <c r="D1459">
        <v>112028</v>
      </c>
    </row>
    <row r="1460" spans="1:4" x14ac:dyDescent="0.25">
      <c r="A1460" t="str">
        <f>T("   630710")</f>
        <v xml:space="preserve">   630710</v>
      </c>
      <c r="B1460" t="str">
        <f>T("   Serpillières ou wassingues, lavettes, chamoisettes et articles d'entretien simil. en tous types de matières textiles")</f>
        <v xml:space="preserve">   Serpillières ou wassingues, lavettes, chamoisettes et articles d'entretien simil. en tous types de matières textiles</v>
      </c>
      <c r="C1460">
        <v>15658052</v>
      </c>
      <c r="D1460">
        <v>15086</v>
      </c>
    </row>
    <row r="1461" spans="1:4" x14ac:dyDescent="0.25">
      <c r="A1461" t="str">
        <f>T("   640220")</f>
        <v xml:space="preserve">   640220</v>
      </c>
      <c r="B1461" t="str">
        <f>T("   Chaussures à semelles extérieures et dessus en caoutchouc ou en matière plastique, à dessus en lanières ou brides fixées à la semelle par des tétons (sauf chaussures ayant le caractère de jouets)")</f>
        <v xml:space="preserve">   Chaussures à semelles extérieures et dessus en caoutchouc ou en matière plastique, à dessus en lanières ou brides fixées à la semelle par des tétons (sauf chaussures ayant le caractère de jouets)</v>
      </c>
      <c r="C1461">
        <v>1000000</v>
      </c>
      <c r="D1461">
        <v>5200</v>
      </c>
    </row>
    <row r="1462" spans="1:4" x14ac:dyDescent="0.25">
      <c r="A1462" t="str">
        <f>T("   640299")</f>
        <v xml:space="preserve">   640299</v>
      </c>
      <c r="B1462" t="s">
        <v>283</v>
      </c>
      <c r="C1462">
        <v>13000000</v>
      </c>
      <c r="D1462">
        <v>85114</v>
      </c>
    </row>
    <row r="1463" spans="1:4" x14ac:dyDescent="0.25">
      <c r="A1463" t="str">
        <f>T("   660110")</f>
        <v xml:space="preserve">   660110</v>
      </c>
      <c r="B1463" t="str">
        <f>T("   Parasols de jardin et articles simil. (sauf tentes de plage)")</f>
        <v xml:space="preserve">   Parasols de jardin et articles simil. (sauf tentes de plage)</v>
      </c>
      <c r="C1463">
        <v>5313939</v>
      </c>
      <c r="D1463">
        <v>700</v>
      </c>
    </row>
    <row r="1464" spans="1:4" x14ac:dyDescent="0.25">
      <c r="A1464" t="str">
        <f>T("   680229")</f>
        <v xml:space="preserve">   680229</v>
      </c>
      <c r="B1464" t="s">
        <v>294</v>
      </c>
      <c r="C1464">
        <v>151415</v>
      </c>
      <c r="D1464">
        <v>130</v>
      </c>
    </row>
    <row r="1465" spans="1:4" x14ac:dyDescent="0.25">
      <c r="A1465" t="str">
        <f>T("   680710")</f>
        <v xml:space="preserve">   680710</v>
      </c>
      <c r="B1465" t="str">
        <f>T("   Ouvrages en asphalte ou en produits simil., p.ex. poix de pétrole, brais, en rouleaux")</f>
        <v xml:space="preserve">   Ouvrages en asphalte ou en produits simil., p.ex. poix de pétrole, brais, en rouleaux</v>
      </c>
      <c r="C1465">
        <v>17708372</v>
      </c>
      <c r="D1465">
        <v>41400</v>
      </c>
    </row>
    <row r="1466" spans="1:4" x14ac:dyDescent="0.25">
      <c r="A1466" t="str">
        <f>T("   691010")</f>
        <v xml:space="preserve">   691010</v>
      </c>
      <c r="B1466" t="s">
        <v>312</v>
      </c>
      <c r="C1466">
        <v>800000</v>
      </c>
      <c r="D1466">
        <v>1700</v>
      </c>
    </row>
    <row r="1467" spans="1:4" x14ac:dyDescent="0.25">
      <c r="A1467" t="str">
        <f>T("   701090")</f>
        <v xml:space="preserve">   701090</v>
      </c>
      <c r="B1467" t="s">
        <v>323</v>
      </c>
      <c r="C1467">
        <v>75000</v>
      </c>
      <c r="D1467">
        <v>10</v>
      </c>
    </row>
    <row r="1468" spans="1:4" x14ac:dyDescent="0.25">
      <c r="A1468" t="str">
        <f>T("   702000")</f>
        <v xml:space="preserve">   702000</v>
      </c>
      <c r="B1468" t="str">
        <f>T("   Ouvrages en verre n.d.a.")</f>
        <v xml:space="preserve">   Ouvrages en verre n.d.a.</v>
      </c>
      <c r="C1468">
        <v>63495</v>
      </c>
      <c r="D1468">
        <v>600</v>
      </c>
    </row>
    <row r="1469" spans="1:4" x14ac:dyDescent="0.25">
      <c r="A1469" t="str">
        <f>T("   721391")</f>
        <v xml:space="preserve">   721391</v>
      </c>
      <c r="B1469"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1469">
        <v>675697865</v>
      </c>
      <c r="D1469">
        <v>2806554</v>
      </c>
    </row>
    <row r="1470" spans="1:4" x14ac:dyDescent="0.25">
      <c r="A1470" t="str">
        <f>T("   721420")</f>
        <v xml:space="preserve">   721420</v>
      </c>
      <c r="B1470" t="str">
        <f>T("   BARRES EN FER OU EN ACIERS NON ALLIÉS, COMPORTANT DES INDENTATIONS, BOURRELETS, CREUX OU RELIEFS OBTENUS AU COURS DU LAMINAGE OU AYANT SUBI UNE TORSION APRÈS LAMINAGE")</f>
        <v xml:space="preserve">   BARRES EN FER OU EN ACIERS NON ALLIÉS, COMPORTANT DES INDENTATIONS, BOURRELETS, CREUX OU RELIEFS OBTENUS AU COURS DU LAMINAGE OU AYANT SUBI UNE TORSION APRÈS LAMINAGE</v>
      </c>
      <c r="C1470">
        <v>58664644</v>
      </c>
      <c r="D1470">
        <v>184520</v>
      </c>
    </row>
    <row r="1471" spans="1:4" x14ac:dyDescent="0.25">
      <c r="A1471" t="str">
        <f>T("   721691")</f>
        <v xml:space="preserve">   721691</v>
      </c>
      <c r="B1471" t="str">
        <f>T("   PROFILÉS EN FER OU ACIERS NON-ALLIÉS, OBTENUS OU PARACHEVÉS À FROID À PARTIR DE PRODUITS LAMINÉS PLATS ET AYANT SUBI CERTAINES OUVRAISONS PLUS POUSSÉES")</f>
        <v xml:space="preserve">   PROFILÉS EN FER OU ACIERS NON-ALLIÉS, OBTENUS OU PARACHEVÉS À FROID À PARTIR DE PRODUITS LAMINÉS PLATS ET AYANT SUBI CERTAINES OUVRAISONS PLUS POUSSÉES</v>
      </c>
      <c r="C1471">
        <v>50208232</v>
      </c>
      <c r="D1471">
        <v>106592</v>
      </c>
    </row>
    <row r="1472" spans="1:4" x14ac:dyDescent="0.25">
      <c r="A1472" t="str">
        <f>T("   721710")</f>
        <v xml:space="preserve">   721710</v>
      </c>
      <c r="B1472" t="str">
        <f>T("   FILS EN FER OU EN ACIERS NON-ALLIÉS, ENROULÉS, NON-REVÊTUS, MÊME POLIS (À L'EXCL. DU FIL MACHINE)")</f>
        <v xml:space="preserve">   FILS EN FER OU EN ACIERS NON-ALLIÉS, ENROULÉS, NON-REVÊTUS, MÊME POLIS (À L'EXCL. DU FIL MACHINE)</v>
      </c>
      <c r="C1472">
        <v>87413377</v>
      </c>
      <c r="D1472">
        <v>180038</v>
      </c>
    </row>
    <row r="1473" spans="1:4" x14ac:dyDescent="0.25">
      <c r="A1473" t="str">
        <f>T("   721790")</f>
        <v xml:space="preserve">   721790</v>
      </c>
      <c r="B1473" t="str">
        <f>T("   FILS EN FER OU EN ACIERS NON-ALLIÉS, ENROULÉS, REVÊTUS (À L'EXCL. DU FIL MACHINE AINSI QUE DES FILS REVÊTUS DE MÉTAUX COMMUNS)")</f>
        <v xml:space="preserve">   FILS EN FER OU EN ACIERS NON-ALLIÉS, ENROULÉS, REVÊTUS (À L'EXCL. DU FIL MACHINE AINSI QUE DES FILS REVÊTUS DE MÉTAUX COMMUNS)</v>
      </c>
      <c r="C1473">
        <v>7718795</v>
      </c>
      <c r="D1473">
        <v>14000</v>
      </c>
    </row>
    <row r="1474" spans="1:4" x14ac:dyDescent="0.25">
      <c r="A1474" t="str">
        <f>T("   730660")</f>
        <v xml:space="preserve">   730660</v>
      </c>
      <c r="B1474" t="s">
        <v>354</v>
      </c>
      <c r="C1474">
        <v>102032051</v>
      </c>
      <c r="D1474">
        <v>228625</v>
      </c>
    </row>
    <row r="1475" spans="1:4" x14ac:dyDescent="0.25">
      <c r="A1475" t="str">
        <f>T("   730690")</f>
        <v xml:space="preserve">   730690</v>
      </c>
      <c r="B1475" t="str">
        <f>T("   Tubes, tuyaux et profilés creux [p.ex. rivés, agrafés ou à bords simplement rapprochés], en fer ou en acier (sauf tubes sans soudure ou soudés et tubes de sections intérieure et extérieure circulaires et d'un diamètre extérieur &gt; 406,4 mm)")</f>
        <v xml:space="preserve">   Tubes, tuyaux et profilés creux [p.ex. rivés, agrafés ou à bords simplement rapprochés], en fer ou en acier (sauf tubes sans soudure ou soudés et tubes de sections intérieure et extérieure circulaires et d'un diamètre extérieur &gt; 406,4 mm)</v>
      </c>
      <c r="C1475">
        <v>10100000</v>
      </c>
      <c r="D1475">
        <v>48000</v>
      </c>
    </row>
    <row r="1476" spans="1:4" x14ac:dyDescent="0.25">
      <c r="A1476" t="str">
        <f>T("   730820")</f>
        <v xml:space="preserve">   730820</v>
      </c>
      <c r="B1476" t="str">
        <f>T("   Tours et pylônes, en fer ou en acier")</f>
        <v xml:space="preserve">   Tours et pylônes, en fer ou en acier</v>
      </c>
      <c r="C1476">
        <v>128235580</v>
      </c>
      <c r="D1476">
        <v>38000</v>
      </c>
    </row>
    <row r="1477" spans="1:4" x14ac:dyDescent="0.25">
      <c r="A1477" t="str">
        <f>T("   731021")</f>
        <v xml:space="preserve">   731021</v>
      </c>
      <c r="B1477" t="str">
        <f>T("   Boîtes en fer ou en acier, contenance &lt; 50 l, à fermer par soudage ou sertissage (sauf pour gaz comprimés ou liquéfiés)")</f>
        <v xml:space="preserve">   Boîtes en fer ou en acier, contenance &lt; 50 l, à fermer par soudage ou sertissage (sauf pour gaz comprimés ou liquéfiés)</v>
      </c>
      <c r="C1477">
        <v>9138458</v>
      </c>
      <c r="D1477">
        <v>3441</v>
      </c>
    </row>
    <row r="1478" spans="1:4" x14ac:dyDescent="0.25">
      <c r="A1478" t="str">
        <f>T("   731029")</f>
        <v xml:space="preserve">   731029</v>
      </c>
      <c r="B1478" t="str">
        <f>T("   Réservoirs, fûts, tambours, bidons et récipients simil., en fer ou en acier, pour toutes matières, contenance &lt; 50 l, n.d.a. (sauf pour gaz comprimés ou liquéfiés, sans dispositifs mécaniques ou thermiques et à l'excl. des boîtes)")</f>
        <v xml:space="preserve">   Réservoirs, fûts, tambours, bidons et récipients simil., en fer ou en acier, pour toutes matières, contenance &lt; 50 l, n.d.a. (sauf pour gaz comprimés ou liquéfiés, sans dispositifs mécaniques ou thermiques et à l'excl. des boîtes)</v>
      </c>
      <c r="C1478">
        <v>33328343</v>
      </c>
      <c r="D1478">
        <v>10407</v>
      </c>
    </row>
    <row r="1479" spans="1:4" x14ac:dyDescent="0.25">
      <c r="A1479" t="str">
        <f>T("   731700")</f>
        <v xml:space="preserve">   731700</v>
      </c>
      <c r="B1479" t="str">
        <f>T("   Pointes, clous, punaises, crampons appointés, agrafes ondulées ou biseautées et articles simil., en fonte, fer ou acier, même avec tête en autre matière (à l'excl. de ceux avec tête en cuivre et à l'excl. des agrafes en barrettes)")</f>
        <v xml:space="preserve">   Pointes, clous, punaises, crampons appointés, agrafes ondulées ou biseautées et articles simil., en fonte, fer ou acier, même avec tête en autre matière (à l'excl. de ceux avec tête en cuivre et à l'excl. des agrafes en barrettes)</v>
      </c>
      <c r="C1479">
        <v>215160554</v>
      </c>
      <c r="D1479">
        <v>516000</v>
      </c>
    </row>
    <row r="1480" spans="1:4" x14ac:dyDescent="0.25">
      <c r="A1480" t="str">
        <f>T("   731811")</f>
        <v xml:space="preserve">   731811</v>
      </c>
      <c r="B1480" t="str">
        <f>T("   Tire-fond en fonte, fer ou acier")</f>
        <v xml:space="preserve">   Tire-fond en fonte, fer ou acier</v>
      </c>
      <c r="C1480">
        <v>53878798</v>
      </c>
      <c r="D1480">
        <v>53675</v>
      </c>
    </row>
    <row r="1481" spans="1:4" x14ac:dyDescent="0.25">
      <c r="A1481" t="str">
        <f>T("   732010")</f>
        <v xml:space="preserve">   732010</v>
      </c>
      <c r="B1481" t="str">
        <f>T("   RESSORTS À LAMES ET LEURS LAMES, EN FER OU EN ACIER (À L'EXCL. DES RESSORTS DE MONTRES ET DES RESSORTS À BARRE DE TORSION DE LA SECTION 17)")</f>
        <v xml:space="preserve">   RESSORTS À LAMES ET LEURS LAMES, EN FER OU EN ACIER (À L'EXCL. DES RESSORTS DE MONTRES ET DES RESSORTS À BARRE DE TORSION DE LA SECTION 17)</v>
      </c>
      <c r="C1481">
        <v>2446856</v>
      </c>
      <c r="D1481">
        <v>11040</v>
      </c>
    </row>
    <row r="1482" spans="1:4" x14ac:dyDescent="0.25">
      <c r="A1482" t="str">
        <f>T("   732090")</f>
        <v xml:space="preserve">   732090</v>
      </c>
      <c r="B1482" t="s">
        <v>360</v>
      </c>
      <c r="C1482">
        <v>191404</v>
      </c>
      <c r="D1482">
        <v>73</v>
      </c>
    </row>
    <row r="1483" spans="1:4" x14ac:dyDescent="0.25">
      <c r="A1483" t="str">
        <f>T("   732394")</f>
        <v xml:space="preserve">   732394</v>
      </c>
      <c r="B1483" t="s">
        <v>367</v>
      </c>
      <c r="C1483">
        <v>1000000</v>
      </c>
      <c r="D1483">
        <v>1200</v>
      </c>
    </row>
    <row r="1484" spans="1:4" x14ac:dyDescent="0.25">
      <c r="A1484" t="str">
        <f>T("   732690")</f>
        <v xml:space="preserve">   732690</v>
      </c>
      <c r="B1484"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1484">
        <v>1000000</v>
      </c>
      <c r="D1484">
        <v>2000</v>
      </c>
    </row>
    <row r="1485" spans="1:4" x14ac:dyDescent="0.25">
      <c r="A1485" t="str">
        <f>T("   741300")</f>
        <v xml:space="preserve">   741300</v>
      </c>
      <c r="B1485" t="str">
        <f>T("   Torons, câbles, tresses et articles simil., en cuivre (sauf produits isolés pour l'électricité)")</f>
        <v xml:space="preserve">   Torons, câbles, tresses et articles simil., en cuivre (sauf produits isolés pour l'électricité)</v>
      </c>
      <c r="C1485">
        <v>2941845</v>
      </c>
      <c r="D1485">
        <v>391</v>
      </c>
    </row>
    <row r="1486" spans="1:4" x14ac:dyDescent="0.25">
      <c r="A1486" t="str">
        <f>T("   761010")</f>
        <v xml:space="preserve">   761010</v>
      </c>
      <c r="B1486" t="str">
        <f>T("   Portes, fenêtres et leurs cadres, chambranles et seuils, en aluminium (sauf pièces de garnissage)")</f>
        <v xml:space="preserve">   Portes, fenêtres et leurs cadres, chambranles et seuils, en aluminium (sauf pièces de garnissage)</v>
      </c>
      <c r="C1486">
        <v>983069</v>
      </c>
      <c r="D1486">
        <v>3800</v>
      </c>
    </row>
    <row r="1487" spans="1:4" x14ac:dyDescent="0.25">
      <c r="A1487" t="str">
        <f>T("   761490")</f>
        <v xml:space="preserve">   761490</v>
      </c>
      <c r="B1487" t="s">
        <v>372</v>
      </c>
      <c r="C1487">
        <v>5178763</v>
      </c>
      <c r="D1487">
        <v>2236</v>
      </c>
    </row>
    <row r="1488" spans="1:4" x14ac:dyDescent="0.25">
      <c r="A1488" t="str">
        <f>T("   761699")</f>
        <v xml:space="preserve">   761699</v>
      </c>
      <c r="B1488" t="str">
        <f>T("   Ouvrages en aluminium, n.d.a.")</f>
        <v xml:space="preserve">   Ouvrages en aluminium, n.d.a.</v>
      </c>
      <c r="C1488">
        <v>137147</v>
      </c>
      <c r="D1488">
        <v>640</v>
      </c>
    </row>
    <row r="1489" spans="1:4" x14ac:dyDescent="0.25">
      <c r="A1489" t="str">
        <f>T("   820110")</f>
        <v xml:space="preserve">   820110</v>
      </c>
      <c r="B1489" t="str">
        <f>T("   Bêches et pelles, avec partie travaillante en métaux communs")</f>
        <v xml:space="preserve">   Bêches et pelles, avec partie travaillante en métaux communs</v>
      </c>
      <c r="C1489">
        <v>6304054</v>
      </c>
      <c r="D1489">
        <v>6825</v>
      </c>
    </row>
    <row r="1490" spans="1:4" x14ac:dyDescent="0.25">
      <c r="A1490" t="str">
        <f>T("   820140")</f>
        <v xml:space="preserve">   820140</v>
      </c>
      <c r="B1490" t="str">
        <f>T("   Haches, serpes et outils simil. à taillants, avec partie travaillante en métaux communs")</f>
        <v xml:space="preserve">   Haches, serpes et outils simil. à taillants, avec partie travaillante en métaux communs</v>
      </c>
      <c r="C1490">
        <v>33941170</v>
      </c>
      <c r="D1490">
        <v>23994</v>
      </c>
    </row>
    <row r="1491" spans="1:4" x14ac:dyDescent="0.25">
      <c r="A1491" t="str">
        <f>T("   820190")</f>
        <v xml:space="preserve">   820190</v>
      </c>
      <c r="B1491" t="s">
        <v>375</v>
      </c>
      <c r="C1491">
        <v>139067172</v>
      </c>
      <c r="D1491">
        <v>94428</v>
      </c>
    </row>
    <row r="1492" spans="1:4" x14ac:dyDescent="0.25">
      <c r="A1492" t="str">
        <f>T("   831110")</f>
        <v xml:space="preserve">   831110</v>
      </c>
      <c r="B1492" t="str">
        <f>T("   ÉLECTRODES ENROBÉES EN MÉTAUX COMMUNS, POUR LE SOUDAGE À L'ARC")</f>
        <v xml:space="preserve">   ÉLECTRODES ENROBÉES EN MÉTAUX COMMUNS, POUR LE SOUDAGE À L'ARC</v>
      </c>
      <c r="C1492">
        <v>8371345</v>
      </c>
      <c r="D1492">
        <v>9043</v>
      </c>
    </row>
    <row r="1493" spans="1:4" x14ac:dyDescent="0.25">
      <c r="A1493" t="str">
        <f>T("   831190")</f>
        <v xml:space="preserve">   831190</v>
      </c>
      <c r="B1493" t="s">
        <v>385</v>
      </c>
      <c r="C1493">
        <v>168000</v>
      </c>
      <c r="D1493">
        <v>300</v>
      </c>
    </row>
    <row r="1494" spans="1:4" x14ac:dyDescent="0.25">
      <c r="A1494" t="str">
        <f>T("   840999")</f>
        <v xml:space="preserve">   840999</v>
      </c>
      <c r="B1494"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1494">
        <v>3304659</v>
      </c>
      <c r="D1494">
        <v>569</v>
      </c>
    </row>
    <row r="1495" spans="1:4" x14ac:dyDescent="0.25">
      <c r="A1495" t="str">
        <f>T("   841810")</f>
        <v xml:space="preserve">   841810</v>
      </c>
      <c r="B1495" t="str">
        <f>T("   Réfrigérateurs et congélateurs-conservateurs combinés, avec portes extérieures séparées")</f>
        <v xml:space="preserve">   Réfrigérateurs et congélateurs-conservateurs combinés, avec portes extérieures séparées</v>
      </c>
      <c r="C1495">
        <v>590364</v>
      </c>
      <c r="D1495">
        <v>500</v>
      </c>
    </row>
    <row r="1496" spans="1:4" x14ac:dyDescent="0.25">
      <c r="A1496" t="str">
        <f>T("   841829")</f>
        <v xml:space="preserve">   841829</v>
      </c>
      <c r="B1496" t="str">
        <f>T("   Réfrigérateurs ménagers à absorption, non-électriques")</f>
        <v xml:space="preserve">   Réfrigérateurs ménagers à absorption, non-électriques</v>
      </c>
      <c r="C1496">
        <v>1721855</v>
      </c>
      <c r="D1496">
        <v>216</v>
      </c>
    </row>
    <row r="1497" spans="1:4" x14ac:dyDescent="0.25">
      <c r="A1497" t="str">
        <f>T("   841989")</f>
        <v xml:space="preserve">   841989</v>
      </c>
      <c r="B1497" t="s">
        <v>405</v>
      </c>
      <c r="C1497">
        <v>3473711</v>
      </c>
      <c r="D1497">
        <v>924</v>
      </c>
    </row>
    <row r="1498" spans="1:4" x14ac:dyDescent="0.25">
      <c r="A1498" t="str">
        <f>T("   842199")</f>
        <v xml:space="preserve">   842199</v>
      </c>
      <c r="B1498" t="str">
        <f>T("   Parties d'appareils pour la filtration ou l'épuration des liquides ou des gaz, n.d.a.")</f>
        <v xml:space="preserve">   Parties d'appareils pour la filtration ou l'épuration des liquides ou des gaz, n.d.a.</v>
      </c>
      <c r="C1498">
        <v>3508717</v>
      </c>
      <c r="D1498">
        <v>88</v>
      </c>
    </row>
    <row r="1499" spans="1:4" x14ac:dyDescent="0.25">
      <c r="A1499" t="str">
        <f>T("   842211")</f>
        <v xml:space="preserve">   842211</v>
      </c>
      <c r="B1499" t="str">
        <f>T("   Machines à laver la vaisselle, de type ménager")</f>
        <v xml:space="preserve">   Machines à laver la vaisselle, de type ménager</v>
      </c>
      <c r="C1499">
        <v>787855</v>
      </c>
      <c r="D1499">
        <v>462</v>
      </c>
    </row>
    <row r="1500" spans="1:4" x14ac:dyDescent="0.25">
      <c r="A1500" t="str">
        <f>T("   842290")</f>
        <v xml:space="preserve">   842290</v>
      </c>
      <c r="B1500" t="str">
        <f>T("   Parties des machines à laver la vaisselle, des machines à empaqueter ou à emballer les marchandises et autres machines et appareils du n° 8422, n.d.a.")</f>
        <v xml:space="preserve">   Parties des machines à laver la vaisselle, des machines à empaqueter ou à emballer les marchandises et autres machines et appareils du n° 8422, n.d.a.</v>
      </c>
      <c r="C1500">
        <v>2655967</v>
      </c>
      <c r="D1500">
        <v>3</v>
      </c>
    </row>
    <row r="1501" spans="1:4" x14ac:dyDescent="0.25">
      <c r="A1501" t="str">
        <f>T("   842310")</f>
        <v xml:space="preserve">   842310</v>
      </c>
      <c r="B1501" t="str">
        <f>T("   Pèse-personnes, y.c. les pèse-bébés; balances de ménage")</f>
        <v xml:space="preserve">   Pèse-personnes, y.c. les pèse-bébés; balances de ménage</v>
      </c>
      <c r="C1501">
        <v>640000</v>
      </c>
      <c r="D1501">
        <v>800</v>
      </c>
    </row>
    <row r="1502" spans="1:4" x14ac:dyDescent="0.25">
      <c r="A1502" t="str">
        <f>T("   842919")</f>
        <v xml:space="preserve">   842919</v>
      </c>
      <c r="B1502" t="str">
        <f>T("   Bouteurs 'bulldozers' et bouteurs biais 'angledozers', sur roues")</f>
        <v xml:space="preserve">   Bouteurs 'bulldozers' et bouteurs biais 'angledozers', sur roues</v>
      </c>
      <c r="C1502">
        <v>6231620</v>
      </c>
      <c r="D1502">
        <v>6000</v>
      </c>
    </row>
    <row r="1503" spans="1:4" x14ac:dyDescent="0.25">
      <c r="A1503" t="str">
        <f>T("   842959")</f>
        <v xml:space="preserve">   842959</v>
      </c>
      <c r="B1503"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1503">
        <v>14893405</v>
      </c>
      <c r="D1503">
        <v>27200</v>
      </c>
    </row>
    <row r="1504" spans="1:4" x14ac:dyDescent="0.25">
      <c r="A1504" t="str">
        <f>T("   843050")</f>
        <v xml:space="preserve">   843050</v>
      </c>
      <c r="B1504" t="str">
        <f>T("   Machines et appareils de terrassement, nivellement, décapage, excavation, compactage, extraction ou forage de la terre, des minéraux ou des minerais, autopropulsés, n.d.a.")</f>
        <v xml:space="preserve">   Machines et appareils de terrassement, nivellement, décapage, excavation, compactage, extraction ou forage de la terre, des minéraux ou des minerais, autopropulsés, n.d.a.</v>
      </c>
      <c r="C1504">
        <v>28318840</v>
      </c>
      <c r="D1504">
        <v>10900</v>
      </c>
    </row>
    <row r="1505" spans="1:4" x14ac:dyDescent="0.25">
      <c r="A1505" t="str">
        <f>T("   843061")</f>
        <v xml:space="preserve">   843061</v>
      </c>
      <c r="B1505" t="str">
        <f>T("   Machines et appareils à tasser ou à compacter, non autopropulsés (sauf outillage pour emploi à la main)")</f>
        <v xml:space="preserve">   Machines et appareils à tasser ou à compacter, non autopropulsés (sauf outillage pour emploi à la main)</v>
      </c>
      <c r="C1505">
        <v>36114230</v>
      </c>
      <c r="D1505">
        <v>79800</v>
      </c>
    </row>
    <row r="1506" spans="1:4" x14ac:dyDescent="0.25">
      <c r="A1506" t="str">
        <f>T("   843149")</f>
        <v xml:space="preserve">   843149</v>
      </c>
      <c r="B1506" t="str">
        <f>T("   Parties de machines et appareils du n° 8426, 8429 ou 8430, n.d.a.")</f>
        <v xml:space="preserve">   Parties de machines et appareils du n° 8426, 8429 ou 8430, n.d.a.</v>
      </c>
      <c r="C1506">
        <v>5973301</v>
      </c>
      <c r="D1506">
        <v>2623</v>
      </c>
    </row>
    <row r="1507" spans="1:4" x14ac:dyDescent="0.25">
      <c r="A1507" t="str">
        <f>T("   846694")</f>
        <v xml:space="preserve">   846694</v>
      </c>
      <c r="B1507" t="str">
        <f>T("   Parties et accessoires pour machines-outils pour le travail du métal avec enlèvement de matière, n.d.a.")</f>
        <v xml:space="preserve">   Parties et accessoires pour machines-outils pour le travail du métal avec enlèvement de matière, n.d.a.</v>
      </c>
      <c r="C1507">
        <v>238379</v>
      </c>
      <c r="D1507">
        <v>80</v>
      </c>
    </row>
    <row r="1508" spans="1:4" x14ac:dyDescent="0.25">
      <c r="A1508" t="str">
        <f>T("   847141")</f>
        <v xml:space="preserve">   847141</v>
      </c>
      <c r="B1508" t="s">
        <v>436</v>
      </c>
      <c r="C1508">
        <v>165958</v>
      </c>
      <c r="D1508">
        <v>380</v>
      </c>
    </row>
    <row r="1509" spans="1:4" x14ac:dyDescent="0.25">
      <c r="A1509" t="str">
        <f>T("   847180")</f>
        <v xml:space="preserve">   847180</v>
      </c>
      <c r="B1509"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1509">
        <v>3837366</v>
      </c>
      <c r="D1509">
        <v>5950</v>
      </c>
    </row>
    <row r="1510" spans="1:4" x14ac:dyDescent="0.25">
      <c r="A1510" t="str">
        <f>T("   847190")</f>
        <v xml:space="preserve">   847190</v>
      </c>
      <c r="B1510"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1510">
        <v>61773201</v>
      </c>
      <c r="D1510">
        <v>577</v>
      </c>
    </row>
    <row r="1511" spans="1:4" x14ac:dyDescent="0.25">
      <c r="A1511" t="str">
        <f>T("   847230")</f>
        <v xml:space="preserve">   847230</v>
      </c>
      <c r="B1511" t="str">
        <f>T("   Machines pour le triage, le pliage, la mise sous enveloppe ou sous bande de courrier, machines à ouvrir, fermer ou sceller la correspondance et machines à apposer ou à oblitérer les timbres")</f>
        <v xml:space="preserve">   Machines pour le triage, le pliage, la mise sous enveloppe ou sous bande de courrier, machines à ouvrir, fermer ou sceller la correspondance et machines à apposer ou à oblitérer les timbres</v>
      </c>
      <c r="C1511">
        <v>707950</v>
      </c>
      <c r="D1511">
        <v>448</v>
      </c>
    </row>
    <row r="1512" spans="1:4" x14ac:dyDescent="0.25">
      <c r="A1512" t="str">
        <f>T("   847290")</f>
        <v xml:space="preserve">   847290</v>
      </c>
      <c r="B1512" t="str">
        <f>T("   Machines et appareils de bureau, n.d.a.")</f>
        <v xml:space="preserve">   Machines et appareils de bureau, n.d.a.</v>
      </c>
      <c r="C1512">
        <v>2716150</v>
      </c>
      <c r="D1512">
        <v>1302</v>
      </c>
    </row>
    <row r="1513" spans="1:4" x14ac:dyDescent="0.25">
      <c r="A1513" t="str">
        <f>T("   847330")</f>
        <v xml:space="preserve">   847330</v>
      </c>
      <c r="B1513" t="str">
        <f>T("   Parties et accessoires pour machines automatiques de traitement de l'information ou pour autres machines du n° 8471, n.d.a.")</f>
        <v xml:space="preserve">   Parties et accessoires pour machines automatiques de traitement de l'information ou pour autres machines du n° 8471, n.d.a.</v>
      </c>
      <c r="C1513">
        <v>3504382</v>
      </c>
      <c r="D1513">
        <v>150.5</v>
      </c>
    </row>
    <row r="1514" spans="1:4" x14ac:dyDescent="0.25">
      <c r="A1514" t="str">
        <f>T("   847340")</f>
        <v xml:space="preserve">   847340</v>
      </c>
      <c r="B1514" t="str">
        <f>T("   Parties et accessoires pour autres machines et appareils de bureau du n° 8472, n.d.a.")</f>
        <v xml:space="preserve">   Parties et accessoires pour autres machines et appareils de bureau du n° 8472, n.d.a.</v>
      </c>
      <c r="C1514">
        <v>767211</v>
      </c>
      <c r="D1514">
        <v>41</v>
      </c>
    </row>
    <row r="1515" spans="1:4" x14ac:dyDescent="0.25">
      <c r="A1515" t="str">
        <f>T("   847689")</f>
        <v xml:space="preserve">   847689</v>
      </c>
      <c r="B1515" t="str">
        <f>T("   Machines automatiques de vente de produits, sans dispositif de chauffage ou de réfrigération et machines pour changer la monnaie (sauf machines automatiques de vente de boissons)")</f>
        <v xml:space="preserve">   Machines automatiques de vente de produits, sans dispositif de chauffage ou de réfrigération et machines pour changer la monnaie (sauf machines automatiques de vente de boissons)</v>
      </c>
      <c r="C1515">
        <v>7198464</v>
      </c>
      <c r="D1515">
        <v>470</v>
      </c>
    </row>
    <row r="1516" spans="1:4" x14ac:dyDescent="0.25">
      <c r="A1516" t="str">
        <f>T("   847910")</f>
        <v xml:space="preserve">   847910</v>
      </c>
      <c r="B1516" t="str">
        <f>T("   Machines et appareils pour les travaux publics, le bâtiment ou les travaux analogues, n.d.a.")</f>
        <v xml:space="preserve">   Machines et appareils pour les travaux publics, le bâtiment ou les travaux analogues, n.d.a.</v>
      </c>
      <c r="C1516">
        <v>4723223</v>
      </c>
      <c r="D1516">
        <v>9000</v>
      </c>
    </row>
    <row r="1517" spans="1:4" x14ac:dyDescent="0.25">
      <c r="A1517" t="str">
        <f>T("   848280")</f>
        <v xml:space="preserve">   848280</v>
      </c>
      <c r="B1517" t="s">
        <v>447</v>
      </c>
      <c r="C1517">
        <v>145512</v>
      </c>
      <c r="D1517">
        <v>3</v>
      </c>
    </row>
    <row r="1518" spans="1:4" x14ac:dyDescent="0.25">
      <c r="A1518" t="str">
        <f>T("   850120")</f>
        <v xml:space="preserve">   850120</v>
      </c>
      <c r="B1518" t="str">
        <f>T("   Moteurs universels, puissance &gt; 37,5 W")</f>
        <v xml:space="preserve">   Moteurs universels, puissance &gt; 37,5 W</v>
      </c>
      <c r="C1518">
        <v>1730088</v>
      </c>
      <c r="D1518">
        <v>900</v>
      </c>
    </row>
    <row r="1519" spans="1:4" x14ac:dyDescent="0.25">
      <c r="A1519" t="str">
        <f>T("   850211")</f>
        <v xml:space="preserve">   850211</v>
      </c>
      <c r="B1519" t="s">
        <v>449</v>
      </c>
      <c r="C1519">
        <v>25700000</v>
      </c>
      <c r="D1519">
        <v>7506</v>
      </c>
    </row>
    <row r="1520" spans="1:4" x14ac:dyDescent="0.25">
      <c r="A1520" t="str">
        <f>T("   850212")</f>
        <v xml:space="preserve">   850212</v>
      </c>
      <c r="B1520"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1520">
        <v>14438940</v>
      </c>
      <c r="D1520">
        <v>3394</v>
      </c>
    </row>
    <row r="1521" spans="1:4" x14ac:dyDescent="0.25">
      <c r="A1521" t="str">
        <f>T("   850239")</f>
        <v xml:space="preserve">   850239</v>
      </c>
      <c r="B1521" t="str">
        <f>T("   Groupes électrogènes (autres qu'à énergie éolienne et à moteurs à piston)")</f>
        <v xml:space="preserve">   Groupes électrogènes (autres qu'à énergie éolienne et à moteurs à piston)</v>
      </c>
      <c r="C1521">
        <v>165958</v>
      </c>
      <c r="D1521">
        <v>160</v>
      </c>
    </row>
    <row r="1522" spans="1:4" x14ac:dyDescent="0.25">
      <c r="A1522" t="str">
        <f>T("   850421")</f>
        <v xml:space="preserve">   850421</v>
      </c>
      <c r="B1522" t="str">
        <f>T("   Transformateurs à diélectrique liquide, puissance &lt;= 650 kVA")</f>
        <v xml:space="preserve">   Transformateurs à diélectrique liquide, puissance &lt;= 650 kVA</v>
      </c>
      <c r="C1522">
        <v>6520000</v>
      </c>
      <c r="D1522">
        <v>3630</v>
      </c>
    </row>
    <row r="1523" spans="1:4" x14ac:dyDescent="0.25">
      <c r="A1523" t="str">
        <f>T("   850423")</f>
        <v xml:space="preserve">   850423</v>
      </c>
      <c r="B1523" t="str">
        <f>T("   Transformateurs à diélectrique liquide, puissance &gt; 10.000 kVA")</f>
        <v xml:space="preserve">   Transformateurs à diélectrique liquide, puissance &gt; 10.000 kVA</v>
      </c>
      <c r="C1523">
        <v>65177498</v>
      </c>
      <c r="D1523">
        <v>15585</v>
      </c>
    </row>
    <row r="1524" spans="1:4" x14ac:dyDescent="0.25">
      <c r="A1524" t="str">
        <f>T("   850440")</f>
        <v xml:space="preserve">   850440</v>
      </c>
      <c r="B1524" t="str">
        <f>T("   CONVERTISSEURS STATIQUES")</f>
        <v xml:space="preserve">   CONVERTISSEURS STATIQUES</v>
      </c>
      <c r="C1524">
        <v>9182563</v>
      </c>
      <c r="D1524">
        <v>581</v>
      </c>
    </row>
    <row r="1525" spans="1:4" x14ac:dyDescent="0.25">
      <c r="A1525" t="str">
        <f>T("   850450")</f>
        <v xml:space="preserve">   850450</v>
      </c>
      <c r="B1525" t="str">
        <f>T("   Bobines de réactance et autres selfs (autres que pour lampes ou tubes à décharge)")</f>
        <v xml:space="preserve">   Bobines de réactance et autres selfs (autres que pour lampes ou tubes à décharge)</v>
      </c>
      <c r="C1525">
        <v>490500</v>
      </c>
      <c r="D1525">
        <v>156</v>
      </c>
    </row>
    <row r="1526" spans="1:4" x14ac:dyDescent="0.25">
      <c r="A1526" t="str">
        <f>T("   850710")</f>
        <v xml:space="preserve">   850710</v>
      </c>
      <c r="B1526" t="str">
        <f>T("   Accumulateurs au plomb, pour le démarrage des moteurs à piston (sauf hors d'usage)")</f>
        <v xml:space="preserve">   Accumulateurs au plomb, pour le démarrage des moteurs à piston (sauf hors d'usage)</v>
      </c>
      <c r="C1526">
        <v>2000000</v>
      </c>
      <c r="D1526">
        <v>1200</v>
      </c>
    </row>
    <row r="1527" spans="1:4" x14ac:dyDescent="0.25">
      <c r="A1527" t="str">
        <f>T("   851640")</f>
        <v xml:space="preserve">   851640</v>
      </c>
      <c r="B1527" t="str">
        <f>T("   Fers à repasser électriques")</f>
        <v xml:space="preserve">   Fers à repasser électriques</v>
      </c>
      <c r="C1527">
        <v>393576</v>
      </c>
      <c r="D1527">
        <v>1450</v>
      </c>
    </row>
    <row r="1528" spans="1:4" x14ac:dyDescent="0.25">
      <c r="A1528" t="str">
        <f>T("   851780")</f>
        <v xml:space="preserve">   851780</v>
      </c>
      <c r="B1528" t="s">
        <v>458</v>
      </c>
      <c r="C1528">
        <v>44933034</v>
      </c>
      <c r="D1528">
        <v>269.5</v>
      </c>
    </row>
    <row r="1529" spans="1:4" x14ac:dyDescent="0.25">
      <c r="A1529" t="str">
        <f>T("   851790")</f>
        <v xml:space="preserve">   851790</v>
      </c>
      <c r="B1529" t="s">
        <v>459</v>
      </c>
      <c r="C1529">
        <v>900000</v>
      </c>
      <c r="D1529">
        <v>451</v>
      </c>
    </row>
    <row r="1530" spans="1:4" x14ac:dyDescent="0.25">
      <c r="A1530" t="str">
        <f>T("   851890")</f>
        <v xml:space="preserve">   851890</v>
      </c>
      <c r="B1530" t="str">
        <f>T("   Parties de microphones, haut-parleurs, casques d'écoute et écouteurs électro-acoustiques, amplificateurs électriques d'audiofréquence ou appareils électriques d'amplification du son, n.d.a.")</f>
        <v xml:space="preserve">   Parties de microphones, haut-parleurs, casques d'écoute et écouteurs électro-acoustiques, amplificateurs électriques d'audiofréquence ou appareils électriques d'amplification du son, n.d.a.</v>
      </c>
      <c r="C1530">
        <v>585334</v>
      </c>
      <c r="D1530">
        <v>11</v>
      </c>
    </row>
    <row r="1531" spans="1:4" x14ac:dyDescent="0.25">
      <c r="A1531" t="str">
        <f>T("   852190")</f>
        <v xml:space="preserve">   852190</v>
      </c>
      <c r="B1531" t="s">
        <v>462</v>
      </c>
      <c r="C1531">
        <v>459172</v>
      </c>
      <c r="D1531">
        <v>1850</v>
      </c>
    </row>
    <row r="1532" spans="1:4" x14ac:dyDescent="0.25">
      <c r="A1532" t="str">
        <f>T("   852460")</f>
        <v xml:space="preserve">   852460</v>
      </c>
      <c r="B1532" t="str">
        <f>T("   Cartes munies d'une piste magnétique enregistrée")</f>
        <v xml:space="preserve">   Cartes munies d'une piste magnétique enregistrée</v>
      </c>
      <c r="C1532">
        <v>2041559</v>
      </c>
      <c r="D1532">
        <v>10.9</v>
      </c>
    </row>
    <row r="1533" spans="1:4" x14ac:dyDescent="0.25">
      <c r="A1533" t="str">
        <f>T("   852719")</f>
        <v xml:space="preserve">   852719</v>
      </c>
      <c r="B1533" t="str">
        <f>T("   Récepteurs de radiodiffusion pouvant fonctionner sans source d'énergie extérieure, y.c. les appareils recevant également la radiotéléphonie ou la radiotélégraphie, non combinés à un appareil d'enregistrement et de reproduction du son")</f>
        <v xml:space="preserve">   Récepteurs de radiodiffusion pouvant fonctionner sans source d'énergie extérieure, y.c. les appareils recevant également la radiotéléphonie ou la radiotélégraphie, non combinés à un appareil d'enregistrement et de reproduction du son</v>
      </c>
      <c r="C1533">
        <v>469011</v>
      </c>
      <c r="D1533">
        <v>850</v>
      </c>
    </row>
    <row r="1534" spans="1:4" x14ac:dyDescent="0.25">
      <c r="A1534" t="str">
        <f>T("   852812")</f>
        <v xml:space="preserve">   852812</v>
      </c>
      <c r="B1534"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1534">
        <v>620364</v>
      </c>
      <c r="D1534">
        <v>1614</v>
      </c>
    </row>
    <row r="1535" spans="1:4" x14ac:dyDescent="0.25">
      <c r="A1535" t="str">
        <f>T("   852821")</f>
        <v xml:space="preserve">   852821</v>
      </c>
      <c r="B1535" t="str">
        <f>T("   Moniteurs vidéo en couleurs")</f>
        <v xml:space="preserve">   Moniteurs vidéo en couleurs</v>
      </c>
      <c r="C1535">
        <v>824152</v>
      </c>
      <c r="D1535">
        <v>160</v>
      </c>
    </row>
    <row r="1536" spans="1:4" x14ac:dyDescent="0.25">
      <c r="A1536" t="str">
        <f>T("   853110")</f>
        <v xml:space="preserve">   853110</v>
      </c>
      <c r="B1536" t="str">
        <f>T("   Avertisseurs électriques pour la protection contre le vol ou l'incendie et appareils simil.")</f>
        <v xml:space="preserve">   Avertisseurs électriques pour la protection contre le vol ou l'incendie et appareils simil.</v>
      </c>
      <c r="C1536">
        <v>5000000</v>
      </c>
      <c r="D1536">
        <v>5630</v>
      </c>
    </row>
    <row r="1537" spans="1:4" x14ac:dyDescent="0.25">
      <c r="A1537" t="str">
        <f>T("   853529")</f>
        <v xml:space="preserve">   853529</v>
      </c>
      <c r="B1537" t="str">
        <f>T("   Disjoncteurs, pour une tension &gt;= 72,5 kV")</f>
        <v xml:space="preserve">   Disjoncteurs, pour une tension &gt;= 72,5 kV</v>
      </c>
      <c r="C1537">
        <v>905225</v>
      </c>
      <c r="D1537">
        <v>8</v>
      </c>
    </row>
    <row r="1538" spans="1:4" x14ac:dyDescent="0.25">
      <c r="A1538" t="str">
        <f>T("   853690")</f>
        <v xml:space="preserve">   853690</v>
      </c>
      <c r="B1538" t="s">
        <v>474</v>
      </c>
      <c r="C1538">
        <v>86963714</v>
      </c>
      <c r="D1538">
        <v>35092</v>
      </c>
    </row>
    <row r="1539" spans="1:4" x14ac:dyDescent="0.25">
      <c r="A1539" t="str">
        <f>T("   853710")</f>
        <v xml:space="preserve">   853710</v>
      </c>
      <c r="B1539"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1539">
        <v>7198464</v>
      </c>
      <c r="D1539">
        <v>460</v>
      </c>
    </row>
    <row r="1540" spans="1:4" x14ac:dyDescent="0.25">
      <c r="A1540" t="str">
        <f>T("   854449")</f>
        <v xml:space="preserve">   854449</v>
      </c>
      <c r="B1540" t="str">
        <f>T("   CONDUCTEURS ÉLECTRIQUES, POUR TENSION &lt;= 1.000 V, ISOLÉS, SANS PIÈCES DE CONNEXION, N.D.A.")</f>
        <v xml:space="preserve">   CONDUCTEURS ÉLECTRIQUES, POUR TENSION &lt;= 1.000 V, ISOLÉS, SANS PIÈCES DE CONNEXION, N.D.A.</v>
      </c>
      <c r="C1540">
        <v>177397479</v>
      </c>
      <c r="D1540">
        <v>62581</v>
      </c>
    </row>
    <row r="1541" spans="1:4" x14ac:dyDescent="0.25">
      <c r="A1541" t="str">
        <f>T("   854459")</f>
        <v xml:space="preserve">   854459</v>
      </c>
      <c r="B1541" t="str">
        <f>T("   Conducteurs électriques, pour tension &gt; 80 V mais &lt;= 1.000 V, sans pièces de connexion, n.d.a.")</f>
        <v xml:space="preserve">   Conducteurs électriques, pour tension &gt; 80 V mais &lt;= 1.000 V, sans pièces de connexion, n.d.a.</v>
      </c>
      <c r="C1541">
        <v>68697722</v>
      </c>
      <c r="D1541">
        <v>18418</v>
      </c>
    </row>
    <row r="1542" spans="1:4" x14ac:dyDescent="0.25">
      <c r="A1542" t="str">
        <f>T("   854460")</f>
        <v xml:space="preserve">   854460</v>
      </c>
      <c r="B1542" t="str">
        <f>T("   Conducteurs électriques, pour tension &gt; 1.000 V, n.d.a.")</f>
        <v xml:space="preserve">   Conducteurs électriques, pour tension &gt; 1.000 V, n.d.a.</v>
      </c>
      <c r="C1542">
        <v>140400280</v>
      </c>
      <c r="D1542">
        <v>76140</v>
      </c>
    </row>
    <row r="1543" spans="1:4" x14ac:dyDescent="0.25">
      <c r="A1543" t="str">
        <f>T("   870322")</f>
        <v xml:space="preserve">   870322</v>
      </c>
      <c r="B1543" t="s">
        <v>480</v>
      </c>
      <c r="C1543">
        <v>16467808</v>
      </c>
      <c r="D1543">
        <v>2665</v>
      </c>
    </row>
    <row r="1544" spans="1:4" x14ac:dyDescent="0.25">
      <c r="A1544" t="str">
        <f>T("   870323")</f>
        <v xml:space="preserve">   870323</v>
      </c>
      <c r="B1544" t="s">
        <v>481</v>
      </c>
      <c r="C1544">
        <v>66390693</v>
      </c>
      <c r="D1544">
        <v>2817</v>
      </c>
    </row>
    <row r="1545" spans="1:4" x14ac:dyDescent="0.25">
      <c r="A1545" t="str">
        <f>T("   870332")</f>
        <v xml:space="preserve">   870332</v>
      </c>
      <c r="B1545" t="s">
        <v>484</v>
      </c>
      <c r="C1545">
        <v>13188332</v>
      </c>
      <c r="D1545">
        <v>2480</v>
      </c>
    </row>
    <row r="1546" spans="1:4" x14ac:dyDescent="0.25">
      <c r="A1546" t="str">
        <f>T("   870333")</f>
        <v xml:space="preserve">   870333</v>
      </c>
      <c r="B1546" t="s">
        <v>485</v>
      </c>
      <c r="C1546">
        <v>32533486</v>
      </c>
      <c r="D1546">
        <v>4523</v>
      </c>
    </row>
    <row r="1547" spans="1:4" x14ac:dyDescent="0.25">
      <c r="A1547" t="str">
        <f>T("   870829")</f>
        <v xml:space="preserve">   870829</v>
      </c>
      <c r="B1547" t="s">
        <v>493</v>
      </c>
      <c r="C1547">
        <v>320000</v>
      </c>
      <c r="D1547">
        <v>160</v>
      </c>
    </row>
    <row r="1548" spans="1:4" x14ac:dyDescent="0.25">
      <c r="A1548" t="str">
        <f>T("   871200")</f>
        <v xml:space="preserve">   871200</v>
      </c>
      <c r="B1548" t="str">
        <f>T("   BICYCLETTES ET AUTRES CYCLES, -Y.C. LES TRIPORTEURS-, SANS MOTEUR")</f>
        <v xml:space="preserve">   BICYCLETTES ET AUTRES CYCLES, -Y.C. LES TRIPORTEURS-, SANS MOTEUR</v>
      </c>
      <c r="C1548">
        <v>3450645</v>
      </c>
      <c r="D1548">
        <v>1398</v>
      </c>
    </row>
    <row r="1549" spans="1:4" x14ac:dyDescent="0.25">
      <c r="A1549" t="str">
        <f>T("   871640")</f>
        <v xml:space="preserve">   871640</v>
      </c>
      <c r="B1549"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1549">
        <v>3284210</v>
      </c>
      <c r="D1549">
        <v>216000</v>
      </c>
    </row>
    <row r="1550" spans="1:4" x14ac:dyDescent="0.25">
      <c r="A1550" t="str">
        <f>T("   871680")</f>
        <v xml:space="preserve">   871680</v>
      </c>
      <c r="B1550" t="str">
        <f>T("   Véhicules dirigés à la main et autres véhicules non automobiles, autres que remorques et semi-remorques")</f>
        <v xml:space="preserve">   Véhicules dirigés à la main et autres véhicules non automobiles, autres que remorques et semi-remorques</v>
      </c>
      <c r="C1550">
        <v>174227615</v>
      </c>
      <c r="D1550">
        <v>184642</v>
      </c>
    </row>
    <row r="1551" spans="1:4" x14ac:dyDescent="0.25">
      <c r="A1551" t="str">
        <f>T("   901812")</f>
        <v xml:space="preserve">   901812</v>
      </c>
      <c r="B1551" t="str">
        <f>T("   Appareils de diagnostic par balayage ultrasonique [scanners]")</f>
        <v xml:space="preserve">   Appareils de diagnostic par balayage ultrasonique [scanners]</v>
      </c>
      <c r="C1551">
        <v>1993947</v>
      </c>
      <c r="D1551">
        <v>10</v>
      </c>
    </row>
    <row r="1552" spans="1:4" x14ac:dyDescent="0.25">
      <c r="A1552" t="str">
        <f>T("   902519")</f>
        <v xml:space="preserve">   902519</v>
      </c>
      <c r="B1552" t="str">
        <f>T("   THERMOMÈTRES ET PYROMÈTRES, NON-COMBINÉS À D'AUTRES INSTRUMENTS (À L'EXCL. DES THERMOMÈTRES À LIQUIDE, À LECTURE DIRECTE) [01/01/1988-31/12/1991: THERMOMÈTRES, NON COMBINES A D'AUTRES INSTRUMENTS, (NON REPR. SOUS 9025.11)]")</f>
        <v xml:space="preserve">   THERMOMÈTRES ET PYROMÈTRES, NON-COMBINÉS À D'AUTRES INSTRUMENTS (À L'EXCL. DES THERMOMÈTRES À LIQUIDE, À LECTURE DIRECTE) [01/01/1988-31/12/1991: THERMOMÈTRES, NON COMBINES A D'AUTRES INSTRUMENTS, (NON REPR. SOUS 9025.11)]</v>
      </c>
      <c r="C1552">
        <v>112000</v>
      </c>
      <c r="D1552">
        <v>80</v>
      </c>
    </row>
    <row r="1553" spans="1:4" x14ac:dyDescent="0.25">
      <c r="A1553" t="str">
        <f>T("   902610")</f>
        <v xml:space="preserve">   902610</v>
      </c>
      <c r="B1553" t="str">
        <f>T("   Instruments et appareils pour la mesure ou le contrôle du débit ou du niveau des liquides (à l'excl. des compteurs et des instruments et appareils pour la régulation ou le contrôle automatiques)")</f>
        <v xml:space="preserve">   Instruments et appareils pour la mesure ou le contrôle du débit ou du niveau des liquides (à l'excl. des compteurs et des instruments et appareils pour la régulation ou le contrôle automatiques)</v>
      </c>
      <c r="C1553">
        <v>17622510</v>
      </c>
      <c r="D1553">
        <v>441</v>
      </c>
    </row>
    <row r="1554" spans="1:4" x14ac:dyDescent="0.25">
      <c r="A1554" t="str">
        <f>T("   903289")</f>
        <v xml:space="preserve">   903289</v>
      </c>
      <c r="B1554" t="s">
        <v>508</v>
      </c>
      <c r="C1554">
        <v>11062109</v>
      </c>
      <c r="D1554">
        <v>1188</v>
      </c>
    </row>
    <row r="1555" spans="1:4" x14ac:dyDescent="0.25">
      <c r="A1555" t="str">
        <f>T("   910599")</f>
        <v xml:space="preserve">   910599</v>
      </c>
      <c r="B1555" t="s">
        <v>509</v>
      </c>
      <c r="C1555">
        <v>300000</v>
      </c>
      <c r="D1555">
        <v>8</v>
      </c>
    </row>
    <row r="1556" spans="1:4" x14ac:dyDescent="0.25">
      <c r="A1556" t="str">
        <f>T("   940310")</f>
        <v xml:space="preserve">   940310</v>
      </c>
      <c r="B1556" t="str">
        <f>T("   Meubles de bureau en métal (sauf sièges)")</f>
        <v xml:space="preserve">   Meubles de bureau en métal (sauf sièges)</v>
      </c>
      <c r="C1556">
        <v>163101</v>
      </c>
      <c r="D1556">
        <v>60</v>
      </c>
    </row>
    <row r="1557" spans="1:4" x14ac:dyDescent="0.25">
      <c r="A1557" t="str">
        <f>T("   940330")</f>
        <v xml:space="preserve">   940330</v>
      </c>
      <c r="B1557" t="str">
        <f>T("   Meubles de bureau en bois (sauf sièges)")</f>
        <v xml:space="preserve">   Meubles de bureau en bois (sauf sièges)</v>
      </c>
      <c r="C1557">
        <v>2000000</v>
      </c>
      <c r="D1557">
        <v>1800</v>
      </c>
    </row>
    <row r="1558" spans="1:4" x14ac:dyDescent="0.25">
      <c r="A1558" t="str">
        <f>T("   940350")</f>
        <v xml:space="preserve">   940350</v>
      </c>
      <c r="B1558" t="str">
        <f>T("   Meubles pour chambres à coucher, en bois (sauf sièges)")</f>
        <v xml:space="preserve">   Meubles pour chambres à coucher, en bois (sauf sièges)</v>
      </c>
      <c r="C1558">
        <v>11500000</v>
      </c>
      <c r="D1558">
        <v>60460</v>
      </c>
    </row>
    <row r="1559" spans="1:4" x14ac:dyDescent="0.25">
      <c r="A1559" t="str">
        <f>T("   940360")</f>
        <v xml:space="preserve">   940360</v>
      </c>
      <c r="B1559" t="str">
        <f>T("   Meubles en bois (autres que pour bureaux, cuisines ou chambres à coucher et autres que sièges)")</f>
        <v xml:space="preserve">   Meubles en bois (autres que pour bureaux, cuisines ou chambres à coucher et autres que sièges)</v>
      </c>
      <c r="C1559">
        <v>3200000</v>
      </c>
      <c r="D1559">
        <v>61600</v>
      </c>
    </row>
    <row r="1560" spans="1:4" x14ac:dyDescent="0.25">
      <c r="A1560" t="str">
        <f>T("   940370")</f>
        <v xml:space="preserve">   940370</v>
      </c>
      <c r="B1560" t="str">
        <f>T("   Meubles en matières plastiques (autres que pour la médecine, l'art dentaire et vétérinaire, la chirurgie et autres que sièges)")</f>
        <v xml:space="preserve">   Meubles en matières plastiques (autres que pour la médecine, l'art dentaire et vétérinaire, la chirurgie et autres que sièges)</v>
      </c>
      <c r="C1560">
        <v>26000</v>
      </c>
      <c r="D1560">
        <v>22</v>
      </c>
    </row>
    <row r="1561" spans="1:4" x14ac:dyDescent="0.25">
      <c r="A1561" t="str">
        <f>T("   940380")</f>
        <v xml:space="preserve">   940380</v>
      </c>
      <c r="B1561" t="str">
        <f>T("   Meubles en rotin, osier, bambou ou autres matières (sauf métal, bois et matières plastiques)")</f>
        <v xml:space="preserve">   Meubles en rotin, osier, bambou ou autres matières (sauf métal, bois et matières plastiques)</v>
      </c>
      <c r="C1561">
        <v>9992553</v>
      </c>
      <c r="D1561">
        <v>3818</v>
      </c>
    </row>
    <row r="1562" spans="1:4" x14ac:dyDescent="0.25">
      <c r="A1562" t="str">
        <f>T("   940490")</f>
        <v xml:space="preserve">   940490</v>
      </c>
      <c r="B1562" t="s">
        <v>514</v>
      </c>
      <c r="C1562">
        <v>26000</v>
      </c>
      <c r="D1562">
        <v>13</v>
      </c>
    </row>
    <row r="1563" spans="1:4" x14ac:dyDescent="0.25">
      <c r="A1563" t="str">
        <f>T("   940530")</f>
        <v xml:space="preserve">   940530</v>
      </c>
      <c r="B1563" t="str">
        <f>T("   GUIRLANDES ÉLECTRIQUES POUR ARBRES DE NOÙL")</f>
        <v xml:space="preserve">   GUIRLANDES ÉLECTRIQUES POUR ARBRES DE NOÙL</v>
      </c>
      <c r="C1563">
        <v>498530</v>
      </c>
      <c r="D1563">
        <v>100</v>
      </c>
    </row>
    <row r="1564" spans="1:4" x14ac:dyDescent="0.25">
      <c r="A1564" t="str">
        <f>T("   940540")</f>
        <v xml:space="preserve">   940540</v>
      </c>
      <c r="B1564" t="str">
        <f>T("   Appareils d'éclairage électrique, n.d.a.")</f>
        <v xml:space="preserve">   Appareils d'éclairage électrique, n.d.a.</v>
      </c>
      <c r="C1564">
        <v>1931043</v>
      </c>
      <c r="D1564">
        <v>1813</v>
      </c>
    </row>
    <row r="1565" spans="1:4" x14ac:dyDescent="0.25">
      <c r="A1565" t="str">
        <f>T("   960719")</f>
        <v xml:space="preserve">   960719</v>
      </c>
      <c r="B1565" t="str">
        <f>T("   Fermetures à glissière sans agrafes et autres qu'en métaux communs")</f>
        <v xml:space="preserve">   Fermetures à glissière sans agrafes et autres qu'en métaux communs</v>
      </c>
      <c r="C1565">
        <v>1800000</v>
      </c>
      <c r="D1565">
        <v>6880</v>
      </c>
    </row>
    <row r="1566" spans="1:4" x14ac:dyDescent="0.25">
      <c r="A1566" t="str">
        <f>T("   960810")</f>
        <v xml:space="preserve">   960810</v>
      </c>
      <c r="B1566" t="str">
        <f>T("   Stylos et crayons à bille")</f>
        <v xml:space="preserve">   Stylos et crayons à bille</v>
      </c>
      <c r="C1566">
        <v>350975</v>
      </c>
      <c r="D1566">
        <v>183</v>
      </c>
    </row>
    <row r="1567" spans="1:4" x14ac:dyDescent="0.25">
      <c r="A1567" t="str">
        <f>T("   960899")</f>
        <v xml:space="preserve">   960899</v>
      </c>
      <c r="B1567" t="str">
        <f>T("   PARTIES DE STYLOS ET CRAYONS À BILLE, STYLOS ET MARQUEURS À MÈCHE FEUTRE OU À AUTRES POINTES POREUSES, STYLOS ET PORTE-MINE, N.D.A.; PORTE-PLUME, PORTE-CRAYON ET ARTICLES SIMIL., STYLETS POUR DUPLICATEURS")</f>
        <v xml:space="preserve">   PARTIES DE STYLOS ET CRAYONS À BILLE, STYLOS ET MARQUEURS À MÈCHE FEUTRE OU À AUTRES POINTES POREUSES, STYLOS ET PORTE-MINE, N.D.A.; PORTE-PLUME, PORTE-CRAYON ET ARTICLES SIMIL., STYLETS POUR DUPLICATEURS</v>
      </c>
      <c r="C1567">
        <v>434300</v>
      </c>
      <c r="D1567">
        <v>400</v>
      </c>
    </row>
    <row r="1568" spans="1:4" x14ac:dyDescent="0.25">
      <c r="A1568" t="str">
        <f>T("   970190")</f>
        <v xml:space="preserve">   970190</v>
      </c>
      <c r="B1568" t="str">
        <f>T("   Collages et tableautins simil.")</f>
        <v xml:space="preserve">   Collages et tableautins simil.</v>
      </c>
      <c r="C1568">
        <v>1210855</v>
      </c>
      <c r="D1568">
        <v>1518</v>
      </c>
    </row>
    <row r="1569" spans="1:4" x14ac:dyDescent="0.25">
      <c r="A1569" t="str">
        <f>T("CK")</f>
        <v>CK</v>
      </c>
      <c r="B1569" t="str">
        <f>T("Cook, îles")</f>
        <v>Cook, îles</v>
      </c>
    </row>
    <row r="1570" spans="1:4" x14ac:dyDescent="0.25">
      <c r="A1570" t="str">
        <f>T("   ZZ_Total_Produit_SH6")</f>
        <v xml:space="preserve">   ZZ_Total_Produit_SH6</v>
      </c>
      <c r="B1570" t="str">
        <f>T("   ZZ_Total_Produit_SH6")</f>
        <v xml:space="preserve">   ZZ_Total_Produit_SH6</v>
      </c>
      <c r="C1570">
        <v>653336</v>
      </c>
      <c r="D1570">
        <v>36</v>
      </c>
    </row>
    <row r="1571" spans="1:4" x14ac:dyDescent="0.25">
      <c r="A1571" t="str">
        <f>T("   401032")</f>
        <v xml:space="preserve">   401032</v>
      </c>
      <c r="B1571" t="str">
        <f>T("   Courroies de transmission sans fin de section trapézoïdale, en caoutchouc vulcanisé, d'une circonférence extérieure &gt; 60 cm mais &lt;= 180 cm (sauf striées)")</f>
        <v xml:space="preserve">   Courroies de transmission sans fin de section trapézoïdale, en caoutchouc vulcanisé, d'une circonférence extérieure &gt; 60 cm mais &lt;= 180 cm (sauf striées)</v>
      </c>
      <c r="C1571">
        <v>11807</v>
      </c>
      <c r="D1571">
        <v>1</v>
      </c>
    </row>
    <row r="1572" spans="1:4" x14ac:dyDescent="0.25">
      <c r="A1572" t="str">
        <f>T("   842123")</f>
        <v xml:space="preserve">   842123</v>
      </c>
      <c r="B1572" t="str">
        <f>T("   Appareils pour la filtration des huiles minérales et carburants pour les moteurs à allumage par étincelles ou par compression")</f>
        <v xml:space="preserve">   Appareils pour la filtration des huiles minérales et carburants pour les moteurs à allumage par étincelles ou par compression</v>
      </c>
      <c r="C1572">
        <v>274191</v>
      </c>
      <c r="D1572">
        <v>15</v>
      </c>
    </row>
    <row r="1573" spans="1:4" x14ac:dyDescent="0.25">
      <c r="A1573" t="str">
        <f>T("   851110")</f>
        <v xml:space="preserve">   851110</v>
      </c>
      <c r="B1573" t="str">
        <f>T("   Bougies d'allumage pour moteurs à allumage par étincelles ou par compression")</f>
        <v xml:space="preserve">   Bougies d'allumage pour moteurs à allumage par étincelles ou par compression</v>
      </c>
      <c r="C1573">
        <v>183669</v>
      </c>
      <c r="D1573">
        <v>10</v>
      </c>
    </row>
    <row r="1574" spans="1:4" x14ac:dyDescent="0.25">
      <c r="A1574" t="str">
        <f>T("   870831")</f>
        <v xml:space="preserve">   870831</v>
      </c>
      <c r="B1574" t="str">
        <f>T("   GARNITURES DE FREINS MONTÉES, POUR TRACTEURS, VÉHICULES POUR LE TRANSPORT DE &gt;= 10 PERSONNES, CHAUFFEUR INCLUS, VOITURES DE TOURISME, VÉHICULES POUR LE TRANSPORT DE MARCHANDISES ET VÉHICULES À USAGES SPÉCIAUX")</f>
        <v xml:space="preserve">   GARNITURES DE FREINS MONTÉES, POUR TRACTEURS, VÉHICULES POUR LE TRANSPORT DE &gt;= 10 PERSONNES, CHAUFFEUR INCLUS, VOITURES DE TOURISME, VÉHICULES POUR LE TRANSPORT DE MARCHANDISES ET VÉHICULES À USAGES SPÉCIAUX</v>
      </c>
      <c r="C1574">
        <v>183669</v>
      </c>
      <c r="D1574">
        <v>10</v>
      </c>
    </row>
    <row r="1575" spans="1:4" x14ac:dyDescent="0.25">
      <c r="A1575" t="str">
        <f>T("CL")</f>
        <v>CL</v>
      </c>
      <c r="B1575" t="str">
        <f>T("Chili")</f>
        <v>Chili</v>
      </c>
    </row>
    <row r="1576" spans="1:4" x14ac:dyDescent="0.25">
      <c r="A1576" t="str">
        <f>T("   ZZ_Total_Produit_SH6")</f>
        <v xml:space="preserve">   ZZ_Total_Produit_SH6</v>
      </c>
      <c r="B1576" t="str">
        <f>T("   ZZ_Total_Produit_SH6")</f>
        <v xml:space="preserve">   ZZ_Total_Produit_SH6</v>
      </c>
      <c r="C1576">
        <v>253572718</v>
      </c>
      <c r="D1576">
        <v>612191</v>
      </c>
    </row>
    <row r="1577" spans="1:4" x14ac:dyDescent="0.25">
      <c r="A1577" t="str">
        <f>T("   020714")</f>
        <v xml:space="preserve">   020714</v>
      </c>
      <c r="B1577" t="str">
        <f>T("   Morceaux et abats comestibles de coqs et de poules [des espèces domestiques], congelés")</f>
        <v xml:space="preserve">   Morceaux et abats comestibles de coqs et de poules [des espèces domestiques], congelés</v>
      </c>
      <c r="C1577">
        <v>7515727</v>
      </c>
      <c r="D1577">
        <v>12000</v>
      </c>
    </row>
    <row r="1578" spans="1:4" x14ac:dyDescent="0.25">
      <c r="A1578" t="str">
        <f>T("   020727")</f>
        <v xml:space="preserve">   020727</v>
      </c>
      <c r="B1578" t="str">
        <f>T("   Morceaux et abats comestibles de dindes et dindons [des espèces domestiques], congelés")</f>
        <v xml:space="preserve">   Morceaux et abats comestibles de dindes et dindons [des espèces domestiques], congelés</v>
      </c>
      <c r="C1578">
        <v>50651041</v>
      </c>
      <c r="D1578">
        <v>83870</v>
      </c>
    </row>
    <row r="1579" spans="1:4" x14ac:dyDescent="0.25">
      <c r="A1579" t="str">
        <f>T("   080610")</f>
        <v xml:space="preserve">   080610</v>
      </c>
      <c r="B1579" t="str">
        <f>T("   Raisins, frais")</f>
        <v xml:space="preserve">   Raisins, frais</v>
      </c>
      <c r="C1579">
        <v>34001686</v>
      </c>
      <c r="D1579">
        <v>104770</v>
      </c>
    </row>
    <row r="1580" spans="1:4" x14ac:dyDescent="0.25">
      <c r="A1580" t="str">
        <f>T("   080810")</f>
        <v xml:space="preserve">   080810</v>
      </c>
      <c r="B1580" t="str">
        <f>T("   Pommes, fraîches")</f>
        <v xml:space="preserve">   Pommes, fraîches</v>
      </c>
      <c r="C1580">
        <v>7000405</v>
      </c>
      <c r="D1580">
        <v>23736</v>
      </c>
    </row>
    <row r="1581" spans="1:4" x14ac:dyDescent="0.25">
      <c r="A1581" t="str">
        <f>T("   190590")</f>
        <v xml:space="preserve">   190590</v>
      </c>
      <c r="B1581" t="s">
        <v>51</v>
      </c>
      <c r="C1581">
        <v>5017917</v>
      </c>
      <c r="D1581">
        <v>7435</v>
      </c>
    </row>
    <row r="1582" spans="1:4" x14ac:dyDescent="0.25">
      <c r="A1582" t="str">
        <f>T("   271113")</f>
        <v xml:space="preserve">   271113</v>
      </c>
      <c r="B1582" t="str">
        <f>T("   Butanes, liquéfiés (à l'excl. des butanes d'une pureté &gt;= 95% en n-butane ou en isobutane)")</f>
        <v xml:space="preserve">   Butanes, liquéfiés (à l'excl. des butanes d'une pureté &gt;= 95% en n-butane ou en isobutane)</v>
      </c>
      <c r="C1582">
        <v>147385920</v>
      </c>
      <c r="D1582">
        <v>374000</v>
      </c>
    </row>
    <row r="1583" spans="1:4" x14ac:dyDescent="0.25">
      <c r="A1583" t="str">
        <f>T("   843221")</f>
        <v xml:space="preserve">   843221</v>
      </c>
      <c r="B1583" t="str">
        <f>T("   Herses à disques -pulvériseurs- pour l'agriculture, la sylviculture ou l'horticulture")</f>
        <v xml:space="preserve">   Herses à disques -pulvériseurs- pour l'agriculture, la sylviculture ou l'horticulture</v>
      </c>
      <c r="C1583">
        <v>2000022</v>
      </c>
      <c r="D1583">
        <v>6380</v>
      </c>
    </row>
    <row r="1584" spans="1:4" x14ac:dyDescent="0.25">
      <c r="A1584" t="str">
        <f>T("CM")</f>
        <v>CM</v>
      </c>
      <c r="B1584" t="str">
        <f>T("Cameroun")</f>
        <v>Cameroun</v>
      </c>
    </row>
    <row r="1585" spans="1:4" x14ac:dyDescent="0.25">
      <c r="A1585" t="str">
        <f>T("   ZZ_Total_Produit_SH6")</f>
        <v xml:space="preserve">   ZZ_Total_Produit_SH6</v>
      </c>
      <c r="B1585" t="str">
        <f>T("   ZZ_Total_Produit_SH6")</f>
        <v xml:space="preserve">   ZZ_Total_Produit_SH6</v>
      </c>
      <c r="C1585">
        <v>2471699767</v>
      </c>
      <c r="D1585">
        <v>5659848</v>
      </c>
    </row>
    <row r="1586" spans="1:4" x14ac:dyDescent="0.25">
      <c r="A1586" t="str">
        <f>T("   271011")</f>
        <v xml:space="preserve">   271011</v>
      </c>
      <c r="B1586"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1586">
        <v>190991231</v>
      </c>
      <c r="D1586">
        <v>506822</v>
      </c>
    </row>
    <row r="1587" spans="1:4" x14ac:dyDescent="0.25">
      <c r="A1587" t="str">
        <f>T("   271019")</f>
        <v xml:space="preserve">   271019</v>
      </c>
      <c r="B1587" t="str">
        <f>T("   Huiles moyennes et préparations, de pétrole ou de minéraux bitumineux, n.d.a.")</f>
        <v xml:space="preserve">   Huiles moyennes et préparations, de pétrole ou de minéraux bitumineux, n.d.a.</v>
      </c>
      <c r="C1587">
        <v>1042516872</v>
      </c>
      <c r="D1587">
        <v>3006046</v>
      </c>
    </row>
    <row r="1588" spans="1:4" x14ac:dyDescent="0.25">
      <c r="A1588" t="str">
        <f>T("   300220")</f>
        <v xml:space="preserve">   300220</v>
      </c>
      <c r="B1588" t="str">
        <f>T("   Vaccins pour la médecine humaine")</f>
        <v xml:space="preserve">   Vaccins pour la médecine humaine</v>
      </c>
      <c r="C1588">
        <v>32300000</v>
      </c>
      <c r="D1588">
        <v>2185</v>
      </c>
    </row>
    <row r="1589" spans="1:4" x14ac:dyDescent="0.25">
      <c r="A1589" t="str">
        <f>T("   330300")</f>
        <v xml:space="preserve">   330300</v>
      </c>
      <c r="B1589" t="str">
        <f>T("   Parfums et eaux de toilette (à l'excl. des préparations pour l'après-rasage [lotions after-shave] et des désodorisants corporels)")</f>
        <v xml:space="preserve">   Parfums et eaux de toilette (à l'excl. des préparations pour l'après-rasage [lotions after-shave] et des désodorisants corporels)</v>
      </c>
      <c r="C1589">
        <v>43608</v>
      </c>
      <c r="D1589">
        <v>288</v>
      </c>
    </row>
    <row r="1590" spans="1:4" x14ac:dyDescent="0.25">
      <c r="A1590" t="str">
        <f>T("   330499")</f>
        <v xml:space="preserve">   330499</v>
      </c>
      <c r="B1590" t="s">
        <v>101</v>
      </c>
      <c r="C1590">
        <v>1780098</v>
      </c>
      <c r="D1590">
        <v>14314</v>
      </c>
    </row>
    <row r="1591" spans="1:4" x14ac:dyDescent="0.25">
      <c r="A1591" t="str">
        <f>T("   330590")</f>
        <v xml:space="preserve">   330590</v>
      </c>
      <c r="B1591" t="str">
        <f>T("   PRÉPARATIONS CAPILLAIRES (À L'EXCL. DES SHAMPOOINGS, DES LAQUES POUR CHEVEUX ET DES PRÉPARATIONS POUR L'ONDULATION OU LE DÉFRISAGE PERMANENTS)")</f>
        <v xml:space="preserve">   PRÉPARATIONS CAPILLAIRES (À L'EXCL. DES SHAMPOOINGS, DES LAQUES POUR CHEVEUX ET DES PRÉPARATIONS POUR L'ONDULATION OU LE DÉFRISAGE PERMANENTS)</v>
      </c>
      <c r="C1591">
        <v>21798</v>
      </c>
      <c r="D1591">
        <v>143</v>
      </c>
    </row>
    <row r="1592" spans="1:4" x14ac:dyDescent="0.25">
      <c r="A1592" t="str">
        <f>T("   340111")</f>
        <v xml:space="preserve">   340111</v>
      </c>
      <c r="B1592" t="s">
        <v>102</v>
      </c>
      <c r="C1592">
        <v>54497</v>
      </c>
      <c r="D1592">
        <v>357</v>
      </c>
    </row>
    <row r="1593" spans="1:4" x14ac:dyDescent="0.25">
      <c r="A1593" t="str">
        <f>T("   490199")</f>
        <v xml:space="preserve">   490199</v>
      </c>
      <c r="B1593"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1593">
        <v>985037</v>
      </c>
      <c r="D1593">
        <v>390</v>
      </c>
    </row>
    <row r="1594" spans="1:4" x14ac:dyDescent="0.25">
      <c r="A1594" t="str">
        <f>T("   610910")</f>
        <v xml:space="preserve">   610910</v>
      </c>
      <c r="B1594" t="str">
        <f>T("   T-shirts et maillots de corps, en bonneterie, de coton,")</f>
        <v xml:space="preserve">   T-shirts et maillots de corps, en bonneterie, de coton,</v>
      </c>
      <c r="C1594">
        <v>5627000</v>
      </c>
      <c r="D1594">
        <v>770</v>
      </c>
    </row>
    <row r="1595" spans="1:4" x14ac:dyDescent="0.25">
      <c r="A1595" t="str">
        <f>T("   620590")</f>
        <v xml:space="preserve">   620590</v>
      </c>
      <c r="B1595"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595">
        <v>1200000</v>
      </c>
      <c r="D1595">
        <v>650</v>
      </c>
    </row>
    <row r="1596" spans="1:4" x14ac:dyDescent="0.25">
      <c r="A1596" t="str">
        <f>T("   650590")</f>
        <v xml:space="preserve">   650590</v>
      </c>
      <c r="B1596" t="s">
        <v>290</v>
      </c>
      <c r="C1596">
        <v>1100000</v>
      </c>
      <c r="D1596">
        <v>148</v>
      </c>
    </row>
    <row r="1597" spans="1:4" x14ac:dyDescent="0.25">
      <c r="A1597" t="str">
        <f>T("   660199")</f>
        <v xml:space="preserve">   660199</v>
      </c>
      <c r="B1597" t="str">
        <f>T("   Parapluies, y.c. les parapluies-cannes et ombrelles (sauf parapluies et ombrelles à mât ou à manche télescopique, parasols de jardin et articles simil. et sauf jouets d'enfants)")</f>
        <v xml:space="preserve">   Parapluies, y.c. les parapluies-cannes et ombrelles (sauf parapluies et ombrelles à mât ou à manche télescopique, parasols de jardin et articles simil. et sauf jouets d'enfants)</v>
      </c>
      <c r="C1597">
        <v>110200</v>
      </c>
      <c r="D1597">
        <v>180</v>
      </c>
    </row>
    <row r="1598" spans="1:4" x14ac:dyDescent="0.25">
      <c r="A1598" t="str">
        <f>T("   701090")</f>
        <v xml:space="preserve">   701090</v>
      </c>
      <c r="B1598" t="s">
        <v>323</v>
      </c>
      <c r="C1598">
        <v>811149631</v>
      </c>
      <c r="D1598">
        <v>1631471</v>
      </c>
    </row>
    <row r="1599" spans="1:4" x14ac:dyDescent="0.25">
      <c r="A1599" t="str">
        <f>T("   731029")</f>
        <v xml:space="preserve">   731029</v>
      </c>
      <c r="B1599" t="str">
        <f>T("   Réservoirs, fûts, tambours, bidons et récipients simil., en fer ou en acier, pour toutes matières, contenance &lt; 50 l, n.d.a. (sauf pour gaz comprimés ou liquéfiés, sans dispositifs mécaniques ou thermiques et à l'excl. des boîtes)")</f>
        <v xml:space="preserve">   Réservoirs, fûts, tambours, bidons et récipients simil., en fer ou en acier, pour toutes matières, contenance &lt; 50 l, n.d.a. (sauf pour gaz comprimés ou liquéfiés, sans dispositifs mécaniques ou thermiques et à l'excl. des boîtes)</v>
      </c>
      <c r="C1599">
        <v>114750</v>
      </c>
      <c r="D1599">
        <v>20</v>
      </c>
    </row>
    <row r="1600" spans="1:4" x14ac:dyDescent="0.25">
      <c r="A1600" t="str">
        <f>T("   732394")</f>
        <v xml:space="preserve">   732394</v>
      </c>
      <c r="B1600" t="s">
        <v>367</v>
      </c>
      <c r="C1600">
        <v>900000</v>
      </c>
      <c r="D1600">
        <v>750</v>
      </c>
    </row>
    <row r="1601" spans="1:4" x14ac:dyDescent="0.25">
      <c r="A1601" t="str">
        <f>T("   760611")</f>
        <v xml:space="preserve">   760611</v>
      </c>
      <c r="B1601" t="str">
        <f>T("   TÔLES ET BANDES EN ALUMINIUM NON-ALLIÉ, D'UNE ÉPAISSEUR &gt; 0,2 MM, DE FORME CARRÉE OU RECTANGULAIRE (SAUF TÔLES ET BANDES DÉPLOYÉES)")</f>
        <v xml:space="preserve">   TÔLES ET BANDES EN ALUMINIUM NON-ALLIÉ, D'UNE ÉPAISSEUR &gt; 0,2 MM, DE FORME CARRÉE OU RECTANGULAIRE (SAUF TÔLES ET BANDES DÉPLOYÉES)</v>
      </c>
      <c r="C1601">
        <v>364599660</v>
      </c>
      <c r="D1601">
        <v>225754</v>
      </c>
    </row>
    <row r="1602" spans="1:4" x14ac:dyDescent="0.25">
      <c r="A1602" t="str">
        <f>T("   841440")</f>
        <v xml:space="preserve">   841440</v>
      </c>
      <c r="B1602" t="str">
        <f>T("   Compresseurs d'air montés sur châssis à roues et remorquables")</f>
        <v xml:space="preserve">   Compresseurs d'air montés sur châssis à roues et remorquables</v>
      </c>
      <c r="C1602">
        <v>98667</v>
      </c>
      <c r="D1602">
        <v>740</v>
      </c>
    </row>
    <row r="1603" spans="1:4" x14ac:dyDescent="0.25">
      <c r="A1603" t="str">
        <f>T("   842951")</f>
        <v xml:space="preserve">   842951</v>
      </c>
      <c r="B1603" t="str">
        <f>T("   Chargeuses et chargeuses-pelleteuses, à chargement frontal, autopropulsées")</f>
        <v xml:space="preserve">   Chargeuses et chargeuses-pelleteuses, à chargement frontal, autopropulsées</v>
      </c>
      <c r="C1603">
        <v>1152000</v>
      </c>
      <c r="D1603">
        <v>19100</v>
      </c>
    </row>
    <row r="1604" spans="1:4" x14ac:dyDescent="0.25">
      <c r="A1604" t="str">
        <f>T("   842959")</f>
        <v xml:space="preserve">   842959</v>
      </c>
      <c r="B1604"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1604">
        <v>204339</v>
      </c>
      <c r="D1604">
        <v>44000</v>
      </c>
    </row>
    <row r="1605" spans="1:4" x14ac:dyDescent="0.25">
      <c r="A1605" t="str">
        <f>T("   843049")</f>
        <v xml:space="preserve">   843049</v>
      </c>
      <c r="B1605" t="str">
        <f>T("   Machines de sondage ou de forage de la terre, des minéraux ou des minerais non autopropulsées et non hydrauliques (à l'excl. des machines à creuser les tunnels et autres machines à creuser les galeries, et sauf outillage pour emploi à la main)")</f>
        <v xml:space="preserve">   Machines de sondage ou de forage de la terre, des minéraux ou des minerais non autopropulsées et non hydrauliques (à l'excl. des machines à creuser les tunnels et autres machines à creuser les galeries, et sauf outillage pour emploi à la main)</v>
      </c>
      <c r="C1605">
        <v>302266</v>
      </c>
      <c r="D1605">
        <v>5704</v>
      </c>
    </row>
    <row r="1606" spans="1:4" x14ac:dyDescent="0.25">
      <c r="A1606" t="str">
        <f>T("   850212")</f>
        <v xml:space="preserve">   850212</v>
      </c>
      <c r="B1606"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1606">
        <v>106544</v>
      </c>
      <c r="D1606">
        <v>5100</v>
      </c>
    </row>
    <row r="1607" spans="1:4" x14ac:dyDescent="0.25">
      <c r="A1607" t="str">
        <f>T("   870120")</f>
        <v xml:space="preserve">   870120</v>
      </c>
      <c r="B1607" t="str">
        <f>T("   Tracteurs routiers pour semi-remorques")</f>
        <v xml:space="preserve">   Tracteurs routiers pour semi-remorques</v>
      </c>
      <c r="C1607">
        <v>1337530</v>
      </c>
      <c r="D1607">
        <v>45640</v>
      </c>
    </row>
    <row r="1608" spans="1:4" x14ac:dyDescent="0.25">
      <c r="A1608" t="str">
        <f>T("   870423")</f>
        <v xml:space="preserve">   870423</v>
      </c>
      <c r="B1608" t="s">
        <v>488</v>
      </c>
      <c r="C1608">
        <v>2958198</v>
      </c>
      <c r="D1608">
        <v>130980</v>
      </c>
    </row>
    <row r="1609" spans="1:4" x14ac:dyDescent="0.25">
      <c r="A1609" t="str">
        <f>T("   871639")</f>
        <v xml:space="preserve">   871639</v>
      </c>
      <c r="B1609" t="str">
        <f>T("   Remorques ne circulant pas sur rails, pour le transport des marchandises (sauf remorques destinées à des usages agricoles, remorques autochargeuses ou autodéchargeuses et remorques-citernes)")</f>
        <v xml:space="preserve">   Remorques ne circulant pas sur rails, pour le transport des marchandises (sauf remorques destinées à des usages agricoles, remorques autochargeuses ou autodéchargeuses et remorques-citernes)</v>
      </c>
      <c r="C1609">
        <v>275841</v>
      </c>
      <c r="D1609">
        <v>16800</v>
      </c>
    </row>
    <row r="1610" spans="1:4" x14ac:dyDescent="0.25">
      <c r="A1610" t="str">
        <f>T("   911390")</f>
        <v xml:space="preserve">   911390</v>
      </c>
      <c r="B1610" t="str">
        <f>T("   Bracelets de montres et leurs parties, n.d.a.")</f>
        <v xml:space="preserve">   Bracelets de montres et leurs parties, n.d.a.</v>
      </c>
      <c r="C1610">
        <v>2900000</v>
      </c>
      <c r="D1610">
        <v>64</v>
      </c>
    </row>
    <row r="1611" spans="1:4" x14ac:dyDescent="0.25">
      <c r="A1611" t="str">
        <f>T("   940350")</f>
        <v xml:space="preserve">   940350</v>
      </c>
      <c r="B1611" t="str">
        <f>T("   Meubles pour chambres à coucher, en bois (sauf sièges)")</f>
        <v xml:space="preserve">   Meubles pour chambres à coucher, en bois (sauf sièges)</v>
      </c>
      <c r="C1611">
        <v>1100000</v>
      </c>
      <c r="D1611">
        <v>800</v>
      </c>
    </row>
    <row r="1612" spans="1:4" x14ac:dyDescent="0.25">
      <c r="A1612" t="str">
        <f>T("   940360")</f>
        <v xml:space="preserve">   940360</v>
      </c>
      <c r="B1612" t="str">
        <f>T("   Meubles en bois (autres que pour bureaux, cuisines ou chambres à coucher et autres que sièges)")</f>
        <v xml:space="preserve">   Meubles en bois (autres que pour bureaux, cuisines ou chambres à coucher et autres que sièges)</v>
      </c>
      <c r="C1612">
        <v>900000</v>
      </c>
      <c r="D1612">
        <v>450</v>
      </c>
    </row>
    <row r="1613" spans="1:4" x14ac:dyDescent="0.25">
      <c r="A1613" t="str">
        <f>T("   950669")</f>
        <v xml:space="preserve">   950669</v>
      </c>
      <c r="B1613" t="str">
        <f>T("   Ballons et balles (autres que gonflables et autres que balles de golf ou de tennis de table)")</f>
        <v xml:space="preserve">   Ballons et balles (autres que gonflables et autres que balles de golf ou de tennis de table)</v>
      </c>
      <c r="C1613">
        <v>6870000</v>
      </c>
      <c r="D1613">
        <v>182</v>
      </c>
    </row>
    <row r="1614" spans="1:4" x14ac:dyDescent="0.25">
      <c r="A1614" t="str">
        <f>T("CN")</f>
        <v>CN</v>
      </c>
      <c r="B1614" t="str">
        <f>T("Chine")</f>
        <v>Chine</v>
      </c>
    </row>
    <row r="1615" spans="1:4" x14ac:dyDescent="0.25">
      <c r="A1615" t="str">
        <f>T("   ZZ_Total_Produit_SH6")</f>
        <v xml:space="preserve">   ZZ_Total_Produit_SH6</v>
      </c>
      <c r="B1615" t="str">
        <f>T("   ZZ_Total_Produit_SH6")</f>
        <v xml:space="preserve">   ZZ_Total_Produit_SH6</v>
      </c>
      <c r="C1615">
        <v>107740878427.94501</v>
      </c>
      <c r="D1615">
        <v>370791741</v>
      </c>
    </row>
    <row r="1616" spans="1:4" x14ac:dyDescent="0.25">
      <c r="A1616" t="str">
        <f>T("   021099")</f>
        <v xml:space="preserve">   021099</v>
      </c>
      <c r="B1616" t="s">
        <v>14</v>
      </c>
      <c r="C1616">
        <v>89610</v>
      </c>
      <c r="D1616">
        <v>418</v>
      </c>
    </row>
    <row r="1617" spans="1:4" x14ac:dyDescent="0.25">
      <c r="A1617" t="str">
        <f>T("   030199")</f>
        <v xml:space="preserve">   030199</v>
      </c>
      <c r="B1617" t="s">
        <v>15</v>
      </c>
      <c r="C1617">
        <v>52117</v>
      </c>
      <c r="D1617">
        <v>400</v>
      </c>
    </row>
    <row r="1618" spans="1:4" x14ac:dyDescent="0.25">
      <c r="A1618" t="str">
        <f>T("   030329")</f>
        <v xml:space="preserve">   030329</v>
      </c>
      <c r="B1618" t="str">
        <f>T("   Salmonidés, congelés (à l'excl. des saumons du Pacifique, de l'Atlantique et du Danube ainsi que des truites)")</f>
        <v xml:space="preserve">   Salmonidés, congelés (à l'excl. des saumons du Pacifique, de l'Atlantique et du Danube ainsi que des truites)</v>
      </c>
      <c r="C1618">
        <v>8802984</v>
      </c>
      <c r="D1618">
        <v>50000</v>
      </c>
    </row>
    <row r="1619" spans="1:4" x14ac:dyDescent="0.25">
      <c r="A1619" t="str">
        <f>T("   030339")</f>
        <v xml:space="preserve">   030339</v>
      </c>
      <c r="B1619" t="str">
        <f>T("   Poissons plats [pleuronectidés, bothidés, cynoglossidés, soléidés, scophthalmidés et citharidés], congelés (à l'excl. des flétans, des plies ou carrelets et des soles)")</f>
        <v xml:space="preserve">   Poissons plats [pleuronectidés, bothidés, cynoglossidés, soléidés, scophthalmidés et citharidés], congelés (à l'excl. des flétans, des plies ou carrelets et des soles)</v>
      </c>
      <c r="C1619">
        <v>9278533</v>
      </c>
      <c r="D1619">
        <v>50000</v>
      </c>
    </row>
    <row r="1620" spans="1:4" x14ac:dyDescent="0.25">
      <c r="A1620" t="str">
        <f>T("   030349")</f>
        <v xml:space="preserve">   030349</v>
      </c>
      <c r="B1620" t="str">
        <f>T("   Thons du genre 'Thunnus', congelés (à l'excl. des thons des espèces 'Thunnus alalunga, Thunnus albacares, Thunnus obesus, Thunnus thynnus et Thunnus maccoyii')")</f>
        <v xml:space="preserve">   Thons du genre 'Thunnus', congelés (à l'excl. des thons des espèces 'Thunnus alalunga, Thunnus albacares, Thunnus obesus, Thunnus thynnus et Thunnus maccoyii')</v>
      </c>
      <c r="C1620">
        <v>4375027</v>
      </c>
      <c r="D1620">
        <v>25000</v>
      </c>
    </row>
    <row r="1621" spans="1:4" x14ac:dyDescent="0.25">
      <c r="A1621" t="str">
        <f>T("   030379")</f>
        <v xml:space="preserve">   030379</v>
      </c>
      <c r="B1621" t="s">
        <v>17</v>
      </c>
      <c r="C1621">
        <v>96356243</v>
      </c>
      <c r="D1621">
        <v>548879</v>
      </c>
    </row>
    <row r="1622" spans="1:4" x14ac:dyDescent="0.25">
      <c r="A1622" t="str">
        <f>T("   040210")</f>
        <v xml:space="preserve">   040210</v>
      </c>
      <c r="B1622" t="str">
        <f>T("   Lait et crème de lait, en poudre, en granulés ou sous d'autres formes solides, d'une teneur en poids de matières grasses &lt;= 1,5%")</f>
        <v xml:space="preserve">   Lait et crème de lait, en poudre, en granulés ou sous d'autres formes solides, d'une teneur en poids de matières grasses &lt;= 1,5%</v>
      </c>
      <c r="C1622">
        <v>497358787</v>
      </c>
      <c r="D1622">
        <v>675571</v>
      </c>
    </row>
    <row r="1623" spans="1:4" x14ac:dyDescent="0.25">
      <c r="A1623" t="str">
        <f>T("   040221")</f>
        <v xml:space="preserve">   040221</v>
      </c>
      <c r="B1623" t="str">
        <f>T("   Lait et crème de lait, en poudre, en granulés ou sous d'autres formes solides, d'une teneur en poids de matières grasses &gt; 1,5%, sans addition de sucre ou d'autres édulcorants")</f>
        <v xml:space="preserve">   Lait et crème de lait, en poudre, en granulés ou sous d'autres formes solides, d'une teneur en poids de matières grasses &gt; 1,5%, sans addition de sucre ou d'autres édulcorants</v>
      </c>
      <c r="C1623">
        <v>26000000</v>
      </c>
      <c r="D1623">
        <v>60600</v>
      </c>
    </row>
    <row r="1624" spans="1:4" x14ac:dyDescent="0.25">
      <c r="A1624" t="str">
        <f>T("   040229")</f>
        <v xml:space="preserve">   040229</v>
      </c>
      <c r="B1624" t="str">
        <f>T("   Lait et crème de lait, en poudre, en granulés ou sous d'autres formes solides, d'une teneur en poids de matières grasses &gt; 1,5%, avec addition de sucre ou d'autres édulcorants")</f>
        <v xml:space="preserve">   Lait et crème de lait, en poudre, en granulés ou sous d'autres formes solides, d'une teneur en poids de matières grasses &gt; 1,5%, avec addition de sucre ou d'autres édulcorants</v>
      </c>
      <c r="C1624">
        <v>72000000</v>
      </c>
      <c r="D1624">
        <v>144090</v>
      </c>
    </row>
    <row r="1625" spans="1:4" x14ac:dyDescent="0.25">
      <c r="A1625" t="str">
        <f>T("   040291")</f>
        <v xml:space="preserve">   040291</v>
      </c>
      <c r="B1625" t="str">
        <f>T("   Lait et crème de lait, concentrés, sans addition de sucre ou d'autres édulcorants (à l'excl. des laits et crèmes de lait en poudre, en granulés ou sous d'autres formes solides)")</f>
        <v xml:space="preserve">   Lait et crème de lait, concentrés, sans addition de sucre ou d'autres édulcorants (à l'excl. des laits et crèmes de lait en poudre, en granulés ou sous d'autres formes solides)</v>
      </c>
      <c r="C1625">
        <v>70101129</v>
      </c>
      <c r="D1625">
        <v>147447</v>
      </c>
    </row>
    <row r="1626" spans="1:4" x14ac:dyDescent="0.25">
      <c r="A1626" t="str">
        <f>T("   040299")</f>
        <v xml:space="preserve">   040299</v>
      </c>
      <c r="B1626" t="str">
        <f>T("   Lait et crème de lait, concentrés, additionnés de sucre ou d'autres édulcorants (à l'excl. des laits et crèmes de lait en poudre, en granulés ou sous d'autres formes solides)")</f>
        <v xml:space="preserve">   Lait et crème de lait, concentrés, additionnés de sucre ou d'autres édulcorants (à l'excl. des laits et crèmes de lait en poudre, en granulés ou sous d'autres formes solides)</v>
      </c>
      <c r="C1626">
        <v>506870395</v>
      </c>
      <c r="D1626">
        <v>2348530</v>
      </c>
    </row>
    <row r="1627" spans="1:4" x14ac:dyDescent="0.25">
      <c r="A1627" t="str">
        <f>T("   040510")</f>
        <v xml:space="preserve">   040510</v>
      </c>
      <c r="B1627" t="str">
        <f>T("   Beurre (sauf beurre déshydraté et ghee)")</f>
        <v xml:space="preserve">   Beurre (sauf beurre déshydraté et ghee)</v>
      </c>
      <c r="C1627">
        <v>34344959</v>
      </c>
      <c r="D1627">
        <v>255410</v>
      </c>
    </row>
    <row r="1628" spans="1:4" x14ac:dyDescent="0.25">
      <c r="A1628" t="str">
        <f>T("   040520")</f>
        <v xml:space="preserve">   040520</v>
      </c>
      <c r="B1628" t="str">
        <f>T("   Pâtes à tartiner laitières d'une teneur en matières grasses laitières &gt;= 39% mais &lt; 80% en poids")</f>
        <v xml:space="preserve">   Pâtes à tartiner laitières d'une teneur en matières grasses laitières &gt;= 39% mais &lt; 80% en poids</v>
      </c>
      <c r="C1628">
        <v>59201</v>
      </c>
      <c r="D1628">
        <v>2920</v>
      </c>
    </row>
    <row r="1629" spans="1:4" x14ac:dyDescent="0.25">
      <c r="A1629" t="str">
        <f>T("   040610")</f>
        <v xml:space="preserve">   040610</v>
      </c>
      <c r="B1629" t="str">
        <f>T("   FROMAGES FRAIS [NON-AFFINÉS], Y.C. LE FROMAGE DE LACTOSÉRUM, ET CAILLEBOTTE [01/01/1988-31/12/1991: FROMAGES FRAIS [NON AFFINES], Y.C. LE FROMAGE DE LACTOSERUM, NON FERMENTES, ET CAILLEBOTTE]")</f>
        <v xml:space="preserve">   FROMAGES FRAIS [NON-AFFINÉS], Y.C. LE FROMAGE DE LACTOSÉRUM, ET CAILLEBOTTE [01/01/1988-31/12/1991: FROMAGES FRAIS [NON AFFINES], Y.C. LE FROMAGE DE LACTOSERUM, NON FERMENTES, ET CAILLEBOTTE]</v>
      </c>
      <c r="C1629">
        <v>4500000</v>
      </c>
      <c r="D1629">
        <v>19000</v>
      </c>
    </row>
    <row r="1630" spans="1:4" x14ac:dyDescent="0.25">
      <c r="A1630" t="str">
        <f>T("   040690")</f>
        <v xml:space="preserve">   040690</v>
      </c>
      <c r="B1630" t="s">
        <v>18</v>
      </c>
      <c r="C1630">
        <v>11500000</v>
      </c>
      <c r="D1630">
        <v>62289</v>
      </c>
    </row>
    <row r="1631" spans="1:4" x14ac:dyDescent="0.25">
      <c r="A1631" t="str">
        <f>T("   040700")</f>
        <v xml:space="preserve">   040700</v>
      </c>
      <c r="B1631" t="str">
        <f>T("   Oeufs d'oiseaux, en coquilles, frais, conservés ou cuits")</f>
        <v xml:space="preserve">   Oeufs d'oiseaux, en coquilles, frais, conservés ou cuits</v>
      </c>
      <c r="C1631">
        <v>9899726</v>
      </c>
      <c r="D1631">
        <v>23810</v>
      </c>
    </row>
    <row r="1632" spans="1:4" x14ac:dyDescent="0.25">
      <c r="A1632" t="str">
        <f>T("   050100")</f>
        <v xml:space="preserve">   050100</v>
      </c>
      <c r="B1632" t="str">
        <f>T("   Cheveux bruts, même lavés ou dégraissés; déchets de cheveux")</f>
        <v xml:space="preserve">   Cheveux bruts, même lavés ou dégraissés; déchets de cheveux</v>
      </c>
      <c r="C1632">
        <v>517061</v>
      </c>
      <c r="D1632">
        <v>118</v>
      </c>
    </row>
    <row r="1633" spans="1:4" x14ac:dyDescent="0.25">
      <c r="A1633" t="str">
        <f>T("   060390")</f>
        <v xml:space="preserve">   060390</v>
      </c>
      <c r="B1633" t="str">
        <f>T("   Fleurs et boutons de fleurs, coupés, pour bouquets ou pour ornements, séchés, blanchis, teints, imprégnés ou autrement préparés")</f>
        <v xml:space="preserve">   Fleurs et boutons de fleurs, coupés, pour bouquets ou pour ornements, séchés, blanchis, teints, imprégnés ou autrement préparés</v>
      </c>
      <c r="C1633">
        <v>1287610</v>
      </c>
      <c r="D1633">
        <v>4931</v>
      </c>
    </row>
    <row r="1634" spans="1:4" x14ac:dyDescent="0.25">
      <c r="A1634" t="str">
        <f>T("   070190")</f>
        <v xml:space="preserve">   070190</v>
      </c>
      <c r="B1634" t="str">
        <f>T("   Pommes de terre, à l'état frais ou réfrigéré (à l'excl. des pommes de terre de semence)")</f>
        <v xml:space="preserve">   Pommes de terre, à l'état frais ou réfrigéré (à l'excl. des pommes de terre de semence)</v>
      </c>
      <c r="C1634">
        <v>3825023</v>
      </c>
      <c r="D1634">
        <v>40130</v>
      </c>
    </row>
    <row r="1635" spans="1:4" x14ac:dyDescent="0.25">
      <c r="A1635" t="str">
        <f>T("   070310")</f>
        <v xml:space="preserve">   070310</v>
      </c>
      <c r="B1635" t="str">
        <f>T("   Oignons et échalotes, à l'état frais ou réfrigéré")</f>
        <v xml:space="preserve">   Oignons et échalotes, à l'état frais ou réfrigéré</v>
      </c>
      <c r="C1635">
        <v>49334</v>
      </c>
      <c r="D1635">
        <v>375</v>
      </c>
    </row>
    <row r="1636" spans="1:4" x14ac:dyDescent="0.25">
      <c r="A1636" t="str">
        <f>T("   070320")</f>
        <v xml:space="preserve">   070320</v>
      </c>
      <c r="B1636" t="str">
        <f>T("   Aulx, à l'état frais ou réfrigéré")</f>
        <v xml:space="preserve">   Aulx, à l'état frais ou réfrigéré</v>
      </c>
      <c r="C1636">
        <v>36837901</v>
      </c>
      <c r="D1636">
        <v>347390</v>
      </c>
    </row>
    <row r="1637" spans="1:4" x14ac:dyDescent="0.25">
      <c r="A1637" t="str">
        <f>T("   070951")</f>
        <v xml:space="preserve">   070951</v>
      </c>
      <c r="B1637" t="str">
        <f>T("   Champignons du genre 'Agaricus', à l'état frais ou réfrigéré")</f>
        <v xml:space="preserve">   Champignons du genre 'Agaricus', à l'état frais ou réfrigéré</v>
      </c>
      <c r="C1637">
        <v>1000000</v>
      </c>
      <c r="D1637">
        <v>17500</v>
      </c>
    </row>
    <row r="1638" spans="1:4" x14ac:dyDescent="0.25">
      <c r="A1638" t="str">
        <f>T("   071010")</f>
        <v xml:space="preserve">   071010</v>
      </c>
      <c r="B1638" t="str">
        <f>T("   Pommes de terre, non cuites ou cuites à l'eau ou à la vapeur, congelées")</f>
        <v xml:space="preserve">   Pommes de terre, non cuites ou cuites à l'eau ou à la vapeur, congelées</v>
      </c>
      <c r="C1638">
        <v>39467</v>
      </c>
      <c r="D1638">
        <v>1250</v>
      </c>
    </row>
    <row r="1639" spans="1:4" x14ac:dyDescent="0.25">
      <c r="A1639" t="str">
        <f>T("   071021")</f>
        <v xml:space="preserve">   071021</v>
      </c>
      <c r="B1639" t="str">
        <f>T("   Pois 'Pisum sativum', écossés ou non, non cuits ou cuits à l'eau ou à la vapeur, congelés")</f>
        <v xml:space="preserve">   Pois 'Pisum sativum', écossés ou non, non cuits ou cuits à l'eau ou à la vapeur, congelés</v>
      </c>
      <c r="C1639">
        <v>7500000</v>
      </c>
      <c r="D1639">
        <v>42585</v>
      </c>
    </row>
    <row r="1640" spans="1:4" x14ac:dyDescent="0.25">
      <c r="A1640" t="str">
        <f>T("   071029")</f>
        <v xml:space="preserve">   071029</v>
      </c>
      <c r="B1640" t="str">
        <f>T("   Légumes à cosse, écossés ou non, non cuits ou cuits à l'eau ou à la vapeur, congelés (à l'excl. des pois 'Pisum sativum' et des haricots 'Vigna spp., Phaseolus spp.')")</f>
        <v xml:space="preserve">   Légumes à cosse, écossés ou non, non cuits ou cuits à l'eau ou à la vapeur, congelés (à l'excl. des pois 'Pisum sativum' et des haricots 'Vigna spp., Phaseolus spp.')</v>
      </c>
      <c r="C1640">
        <v>789344</v>
      </c>
      <c r="D1640">
        <v>5020</v>
      </c>
    </row>
    <row r="1641" spans="1:4" x14ac:dyDescent="0.25">
      <c r="A1641" t="str">
        <f>T("   071290")</f>
        <v xml:space="preserve">   071290</v>
      </c>
      <c r="B1641" t="str">
        <f>T("   LÉGUMES ET MÉLANGES DE LÉGUMES, SÉCHÉS, MÊME COUPÉS EN MORCEAUX OU EN TRANCHES OU BIEN BROYÉS OU PULVÉRISÉS, MAIS NON AUTREMENT PRÉPARÉS (À L'EXCL. DES OIGNONS, DES CHAMPIGNONS ET DES TRUFFES, NON-MÉLANGÉS)")</f>
        <v xml:space="preserve">   LÉGUMES ET MÉLANGES DE LÉGUMES, SÉCHÉS, MÊME COUPÉS EN MORCEAUX OU EN TRANCHES OU BIEN BROYÉS OU PULVÉRISÉS, MAIS NON AUTREMENT PRÉPARÉS (À L'EXCL. DES OIGNONS, DES CHAMPIGNONS ET DES TRUFFES, NON-MÉLANGÉS)</v>
      </c>
      <c r="C1641">
        <v>1727655</v>
      </c>
      <c r="D1641">
        <v>11570</v>
      </c>
    </row>
    <row r="1642" spans="1:4" x14ac:dyDescent="0.25">
      <c r="A1642" t="str">
        <f>T("   071340")</f>
        <v xml:space="preserve">   071340</v>
      </c>
      <c r="B1642" t="str">
        <f>T("   Lentilles, séchées, écossées, même décortiquées ou cassées")</f>
        <v xml:space="preserve">   Lentilles, séchées, écossées, même décortiquées ou cassées</v>
      </c>
      <c r="C1642">
        <v>670000</v>
      </c>
      <c r="D1642">
        <v>1752</v>
      </c>
    </row>
    <row r="1643" spans="1:4" x14ac:dyDescent="0.25">
      <c r="A1643" t="str">
        <f>T("   080111")</f>
        <v xml:space="preserve">   080111</v>
      </c>
      <c r="B1643" t="str">
        <f>T("   Noix de coco, desséchées")</f>
        <v xml:space="preserve">   Noix de coco, desséchées</v>
      </c>
      <c r="C1643">
        <v>8480732</v>
      </c>
      <c r="D1643">
        <v>1782026</v>
      </c>
    </row>
    <row r="1644" spans="1:4" x14ac:dyDescent="0.25">
      <c r="A1644" t="str">
        <f>T("   080119")</f>
        <v xml:space="preserve">   080119</v>
      </c>
      <c r="B1644" t="str">
        <f>T("   Noix de coco, fraîches, même sans leur coques ou décortiquées")</f>
        <v xml:space="preserve">   Noix de coco, fraîches, même sans leur coques ou décortiquées</v>
      </c>
      <c r="C1644">
        <v>17645394</v>
      </c>
      <c r="D1644">
        <v>3771390</v>
      </c>
    </row>
    <row r="1645" spans="1:4" x14ac:dyDescent="0.25">
      <c r="A1645" t="str">
        <f>T("   080131")</f>
        <v xml:space="preserve">   080131</v>
      </c>
      <c r="B1645" t="str">
        <f>T("   Noix de cajou, fraîches ou sèches, en coques")</f>
        <v xml:space="preserve">   Noix de cajou, fraîches ou sèches, en coques</v>
      </c>
      <c r="C1645">
        <v>439200</v>
      </c>
      <c r="D1645">
        <v>10980</v>
      </c>
    </row>
    <row r="1646" spans="1:4" x14ac:dyDescent="0.25">
      <c r="A1646" t="str">
        <f>T("   080290")</f>
        <v xml:space="preserve">   080290</v>
      </c>
      <c r="B1646" t="str">
        <f>T("   FRUITS À COQUES, FRAIS OU SECS, MÊME SANS LEURS COQUES OU DÉCORTIQUÉS (À L'EXCL. DES NOIX DE COCO, DU BRÉSIL OU DE CAJOU AINSI QUE DES AMANDES, DES NOISETTES, DES NOIX COMMUNES, DES CHÂTAIGNES, DES MARRONS, DES PISTACHESE ET DES NOIX MACADAMIA)")</f>
        <v xml:space="preserve">   FRUITS À COQUES, FRAIS OU SECS, MÊME SANS LEURS COQUES OU DÉCORTIQUÉS (À L'EXCL. DES NOIX DE COCO, DU BRÉSIL OU DE CAJOU AINSI QUE DES AMANDES, DES NOISETTES, DES NOIX COMMUNES, DES CHÂTAIGNES, DES MARRONS, DES PISTACHESE ET DES NOIX MACADAMIA)</v>
      </c>
      <c r="C1646">
        <v>390816</v>
      </c>
      <c r="D1646">
        <v>7820</v>
      </c>
    </row>
    <row r="1647" spans="1:4" x14ac:dyDescent="0.25">
      <c r="A1647" t="str">
        <f>T("   080300")</f>
        <v xml:space="preserve">   080300</v>
      </c>
      <c r="B1647" t="str">
        <f>T("   Bananes, y.c. les plantains, fraîches ou sèches")</f>
        <v xml:space="preserve">   Bananes, y.c. les plantains, fraîches ou sèches</v>
      </c>
      <c r="C1647">
        <v>2257022</v>
      </c>
      <c r="D1647">
        <v>162060</v>
      </c>
    </row>
    <row r="1648" spans="1:4" x14ac:dyDescent="0.25">
      <c r="A1648" t="str">
        <f>T("   080810")</f>
        <v xml:space="preserve">   080810</v>
      </c>
      <c r="B1648" t="str">
        <f>T("   Pommes, fraîches")</f>
        <v xml:space="preserve">   Pommes, fraîches</v>
      </c>
      <c r="C1648">
        <v>131698732</v>
      </c>
      <c r="D1648">
        <v>549360</v>
      </c>
    </row>
    <row r="1649" spans="1:4" x14ac:dyDescent="0.25">
      <c r="A1649" t="str">
        <f>T("   081340")</f>
        <v xml:space="preserve">   081340</v>
      </c>
      <c r="B1649" t="str">
        <f>T("   PÊCHES, POIRES, PAPAYES, TAMARINS ET AUTRES FRUITS COMESTIBLES, SÉCHÉS (SAUF FRUITS À COQUE, BANANES, DATTES, FIGUES, ANANAS, AVOCATS, GOYAVES, MANGUES, MAGOUSTANS, AGRUMES, RAISINS, ABRICOTS, PRUNES ET POMMES, NON-MÉLANGÉS)")</f>
        <v xml:space="preserve">   PÊCHES, POIRES, PAPAYES, TAMARINS ET AUTRES FRUITS COMESTIBLES, SÉCHÉS (SAUF FRUITS À COQUE, BANANES, DATTES, FIGUES, ANANAS, AVOCATS, GOYAVES, MANGUES, MAGOUSTANS, AGRUMES, RAISINS, ABRICOTS, PRUNES ET POMMES, NON-MÉLANGÉS)</v>
      </c>
      <c r="C1649">
        <v>1000000</v>
      </c>
      <c r="D1649">
        <v>10637</v>
      </c>
    </row>
    <row r="1650" spans="1:4" x14ac:dyDescent="0.25">
      <c r="A1650" t="str">
        <f>T("   090111")</f>
        <v xml:space="preserve">   090111</v>
      </c>
      <c r="B1650" t="str">
        <f>T("   Café, non torréfié, non décaféiné")</f>
        <v xml:space="preserve">   Café, non torréfié, non décaféiné</v>
      </c>
      <c r="C1650">
        <v>15000000</v>
      </c>
      <c r="D1650">
        <v>40632</v>
      </c>
    </row>
    <row r="1651" spans="1:4" x14ac:dyDescent="0.25">
      <c r="A1651" t="str">
        <f>T("   090190")</f>
        <v xml:space="preserve">   090190</v>
      </c>
      <c r="B1651" t="str">
        <f>T("   Coques et pellicules de café; succédanés du café contenant du café, quelles que soient les proportions du mélange")</f>
        <v xml:space="preserve">   Coques et pellicules de café; succédanés du café contenant du café, quelles que soient les proportions du mélange</v>
      </c>
      <c r="C1651">
        <v>9700000</v>
      </c>
      <c r="D1651">
        <v>56711</v>
      </c>
    </row>
    <row r="1652" spans="1:4" x14ac:dyDescent="0.25">
      <c r="A1652" t="str">
        <f>T("   090210")</f>
        <v xml:space="preserve">   090210</v>
      </c>
      <c r="B1652" t="str">
        <f>T("   Thé vert [thé non fermenté], présenté en emballages immédiats d'un contenu &lt;= 3 kg")</f>
        <v xml:space="preserve">   Thé vert [thé non fermenté], présenté en emballages immédiats d'un contenu &lt;= 3 kg</v>
      </c>
      <c r="C1652">
        <v>4500000</v>
      </c>
      <c r="D1652">
        <v>24907</v>
      </c>
    </row>
    <row r="1653" spans="1:4" x14ac:dyDescent="0.25">
      <c r="A1653" t="str">
        <f>T("   090220")</f>
        <v xml:space="preserve">   090220</v>
      </c>
      <c r="B1653" t="str">
        <f>T("   Thé vert [thé non fermenté], présenté en emballages immédiats d'un contenu &gt; 3 kg")</f>
        <v xml:space="preserve">   Thé vert [thé non fermenté], présenté en emballages immédiats d'un contenu &gt; 3 kg</v>
      </c>
      <c r="C1653">
        <v>1000000</v>
      </c>
      <c r="D1653">
        <v>8369</v>
      </c>
    </row>
    <row r="1654" spans="1:4" x14ac:dyDescent="0.25">
      <c r="A1654" t="str">
        <f>T("   090230")</f>
        <v xml:space="preserve">   090230</v>
      </c>
      <c r="B1654" t="s">
        <v>25</v>
      </c>
      <c r="C1654">
        <v>2500000</v>
      </c>
      <c r="D1654">
        <v>5700</v>
      </c>
    </row>
    <row r="1655" spans="1:4" x14ac:dyDescent="0.25">
      <c r="A1655" t="str">
        <f>T("   090240")</f>
        <v xml:space="preserve">   090240</v>
      </c>
      <c r="B1655" t="s">
        <v>26</v>
      </c>
      <c r="C1655">
        <v>60000000</v>
      </c>
      <c r="D1655">
        <v>273430</v>
      </c>
    </row>
    <row r="1656" spans="1:4" x14ac:dyDescent="0.25">
      <c r="A1656" t="str">
        <f>T("   091099")</f>
        <v xml:space="preserve">   091099</v>
      </c>
      <c r="B1656" t="s">
        <v>27</v>
      </c>
      <c r="C1656">
        <v>310658</v>
      </c>
      <c r="D1656">
        <v>1450</v>
      </c>
    </row>
    <row r="1657" spans="1:4" x14ac:dyDescent="0.25">
      <c r="A1657" t="str">
        <f>T("   100590")</f>
        <v xml:space="preserve">   100590</v>
      </c>
      <c r="B1657" t="str">
        <f>T("   Maïs (autre que de semence)")</f>
        <v xml:space="preserve">   Maïs (autre que de semence)</v>
      </c>
      <c r="C1657">
        <v>3553399</v>
      </c>
      <c r="D1657">
        <v>23289</v>
      </c>
    </row>
    <row r="1658" spans="1:4" x14ac:dyDescent="0.25">
      <c r="A1658" t="str">
        <f>T("   100620")</f>
        <v xml:space="preserve">   100620</v>
      </c>
      <c r="B1658" t="str">
        <f>T("   Riz décortiqué [riz cargo ou riz brun]")</f>
        <v xml:space="preserve">   Riz décortiqué [riz cargo ou riz brun]</v>
      </c>
      <c r="C1658">
        <v>262384</v>
      </c>
      <c r="D1658">
        <v>90</v>
      </c>
    </row>
    <row r="1659" spans="1:4" x14ac:dyDescent="0.25">
      <c r="A1659" t="str">
        <f>T("   100630")</f>
        <v xml:space="preserve">   100630</v>
      </c>
      <c r="B1659" t="str">
        <f>T("   Riz semi-blanchi ou blanchi, même poli ou glacé")</f>
        <v xml:space="preserve">   Riz semi-blanchi ou blanchi, même poli ou glacé</v>
      </c>
      <c r="C1659">
        <v>1136838395.1949999</v>
      </c>
      <c r="D1659">
        <v>4408113</v>
      </c>
    </row>
    <row r="1660" spans="1:4" x14ac:dyDescent="0.25">
      <c r="A1660" t="str">
        <f>T("   100890")</f>
        <v xml:space="preserve">   100890</v>
      </c>
      <c r="B1660" t="str">
        <f>T("   Céréales (à l'excl. du froment [blé], du méteil, du seigle, de l'orge, de l'avoine, du maïs, du riz, du sorgho à grains, du sarrasin, du millet et de l'alpiste)")</f>
        <v xml:space="preserve">   Céréales (à l'excl. du froment [blé], du méteil, du seigle, de l'orge, de l'avoine, du maïs, du riz, du sorgho à grains, du sarrasin, du millet et de l'alpiste)</v>
      </c>
      <c r="C1660">
        <v>500000</v>
      </c>
      <c r="D1660">
        <v>4117</v>
      </c>
    </row>
    <row r="1661" spans="1:4" x14ac:dyDescent="0.25">
      <c r="A1661" t="str">
        <f>T("   110100")</f>
        <v xml:space="preserve">   110100</v>
      </c>
      <c r="B1661" t="str">
        <f>T("   Farines de froment [blé] ou de méteil")</f>
        <v xml:space="preserve">   Farines de froment [blé] ou de méteil</v>
      </c>
      <c r="C1661">
        <v>7917437</v>
      </c>
      <c r="D1661">
        <v>24053</v>
      </c>
    </row>
    <row r="1662" spans="1:4" x14ac:dyDescent="0.25">
      <c r="A1662" t="str">
        <f>T("   110422")</f>
        <v xml:space="preserve">   110422</v>
      </c>
      <c r="B1662" t="str">
        <f>T("   Grains d'avoine, mondés, perlés, tranchés, concassés ou autrement travaillés (à l'excl. de la farine d'avoine)")</f>
        <v xml:space="preserve">   Grains d'avoine, mondés, perlés, tranchés, concassés ou autrement travaillés (à l'excl. de la farine d'avoine)</v>
      </c>
      <c r="C1662">
        <v>2500000</v>
      </c>
      <c r="D1662">
        <v>7860</v>
      </c>
    </row>
    <row r="1663" spans="1:4" x14ac:dyDescent="0.25">
      <c r="A1663" t="str">
        <f>T("   110510")</f>
        <v xml:space="preserve">   110510</v>
      </c>
      <c r="B1663" t="str">
        <f>T("   Farine, semoule et poudre de pommes de terre")</f>
        <v xml:space="preserve">   Farine, semoule et poudre de pommes de terre</v>
      </c>
      <c r="C1663">
        <v>2500000</v>
      </c>
      <c r="D1663">
        <v>15300</v>
      </c>
    </row>
    <row r="1664" spans="1:4" x14ac:dyDescent="0.25">
      <c r="A1664" t="str">
        <f>T("   110620")</f>
        <v xml:space="preserve">   110620</v>
      </c>
      <c r="B1664" t="str">
        <f>T("   Farines, semoules et poudres de sagou ou des racines ou tubercules du n° 0714")</f>
        <v xml:space="preserve">   Farines, semoules et poudres de sagou ou des racines ou tubercules du n° 0714</v>
      </c>
      <c r="C1664">
        <v>70000</v>
      </c>
      <c r="D1664">
        <v>500</v>
      </c>
    </row>
    <row r="1665" spans="1:4" x14ac:dyDescent="0.25">
      <c r="A1665" t="str">
        <f>T("   120710")</f>
        <v xml:space="preserve">   120710</v>
      </c>
      <c r="B1665" t="str">
        <f>T("   NOIX ET AMANDES DE PALMISTES")</f>
        <v xml:space="preserve">   NOIX ET AMANDES DE PALMISTES</v>
      </c>
      <c r="C1665">
        <v>14776267</v>
      </c>
      <c r="D1665">
        <v>1380488</v>
      </c>
    </row>
    <row r="1666" spans="1:4" x14ac:dyDescent="0.25">
      <c r="A1666" t="str">
        <f>T("   120810")</f>
        <v xml:space="preserve">   120810</v>
      </c>
      <c r="B1666" t="str">
        <f>T("   Farine de fèves de soja")</f>
        <v xml:space="preserve">   Farine de fèves de soja</v>
      </c>
      <c r="C1666">
        <v>2000000</v>
      </c>
      <c r="D1666">
        <v>18340</v>
      </c>
    </row>
    <row r="1667" spans="1:4" x14ac:dyDescent="0.25">
      <c r="A1667" t="str">
        <f>T("   120890")</f>
        <v xml:space="preserve">   120890</v>
      </c>
      <c r="B1667" t="str">
        <f>T("   Farines de graines ou de fruits oléagineux (à l'excl. des farines de moutarde et de fèves de soja)")</f>
        <v xml:space="preserve">   Farines de graines ou de fruits oléagineux (à l'excl. des farines de moutarde et de fèves de soja)</v>
      </c>
      <c r="C1667">
        <v>89610</v>
      </c>
      <c r="D1667">
        <v>418</v>
      </c>
    </row>
    <row r="1668" spans="1:4" x14ac:dyDescent="0.25">
      <c r="A1668" t="str">
        <f>T("   120999")</f>
        <v xml:space="preserve">   120999</v>
      </c>
      <c r="B1668" t="s">
        <v>30</v>
      </c>
      <c r="C1668">
        <v>31035</v>
      </c>
      <c r="D1668">
        <v>170</v>
      </c>
    </row>
    <row r="1669" spans="1:4" x14ac:dyDescent="0.25">
      <c r="A1669" t="str">
        <f>T("   130190")</f>
        <v xml:space="preserve">   130190</v>
      </c>
      <c r="B1669" t="str">
        <f>T("   Gommes, résines, gommes-résines, baumes et autres oléorésines, naturelles (à l'excl. de la gomme arabique)")</f>
        <v xml:space="preserve">   Gommes, résines, gommes-résines, baumes et autres oléorésines, naturelles (à l'excl. de la gomme arabique)</v>
      </c>
      <c r="C1669">
        <v>2000000</v>
      </c>
      <c r="D1669">
        <v>8910</v>
      </c>
    </row>
    <row r="1670" spans="1:4" x14ac:dyDescent="0.25">
      <c r="A1670" t="str">
        <f>T("   140120")</f>
        <v xml:space="preserve">   140120</v>
      </c>
      <c r="B1670" t="str">
        <f>T("   Rotins")</f>
        <v xml:space="preserve">   Rotins</v>
      </c>
      <c r="C1670">
        <v>19800</v>
      </c>
      <c r="D1670">
        <v>660</v>
      </c>
    </row>
    <row r="1671" spans="1:4" x14ac:dyDescent="0.25">
      <c r="A1671" t="str">
        <f>T("   140490")</f>
        <v xml:space="preserve">   140490</v>
      </c>
      <c r="B1671" t="str">
        <f>T("   Produits végétaux, n.d.a.")</f>
        <v xml:space="preserve">   Produits végétaux, n.d.a.</v>
      </c>
      <c r="C1671">
        <v>100664</v>
      </c>
      <c r="D1671">
        <v>1200</v>
      </c>
    </row>
    <row r="1672" spans="1:4" x14ac:dyDescent="0.25">
      <c r="A1672" t="str">
        <f>T("   151190")</f>
        <v xml:space="preserve">   151190</v>
      </c>
      <c r="B1672" t="str">
        <f>T("   Huile de palme et ses fractions, même raffinées, mais non chimiquement modifiées (à l'excl. de l'huile de palme brute)")</f>
        <v xml:space="preserve">   Huile de palme et ses fractions, même raffinées, mais non chimiquement modifiées (à l'excl. de l'huile de palme brute)</v>
      </c>
      <c r="C1672">
        <v>2758428101.3410001</v>
      </c>
      <c r="D1672">
        <v>9100429</v>
      </c>
    </row>
    <row r="1673" spans="1:4" x14ac:dyDescent="0.25">
      <c r="A1673" t="str">
        <f>T("   151329")</f>
        <v xml:space="preserve">   151329</v>
      </c>
      <c r="B1673" t="str">
        <f>T("   Huiles de palmiste ou de babassu et leurs fractions, même raffinées, mais non chimiquement modifiées (à l'excl. des huiles brutes)")</f>
        <v xml:space="preserve">   Huiles de palmiste ou de babassu et leurs fractions, même raffinées, mais non chimiquement modifiées (à l'excl. des huiles brutes)</v>
      </c>
      <c r="C1673">
        <v>44000486</v>
      </c>
      <c r="D1673">
        <v>220000</v>
      </c>
    </row>
    <row r="1674" spans="1:4" x14ac:dyDescent="0.25">
      <c r="A1674" t="str">
        <f>T("   151590")</f>
        <v xml:space="preserve">   151590</v>
      </c>
      <c r="B1674" t="s">
        <v>35</v>
      </c>
      <c r="C1674">
        <v>1350000</v>
      </c>
      <c r="D1674">
        <v>6750</v>
      </c>
    </row>
    <row r="1675" spans="1:4" x14ac:dyDescent="0.25">
      <c r="A1675" t="str">
        <f>T("   151620")</f>
        <v xml:space="preserve">   151620</v>
      </c>
      <c r="B1675"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1675">
        <v>20200539</v>
      </c>
      <c r="D1675">
        <v>92111</v>
      </c>
    </row>
    <row r="1676" spans="1:4" x14ac:dyDescent="0.25">
      <c r="A1676" t="str">
        <f>T("   151710")</f>
        <v xml:space="preserve">   151710</v>
      </c>
      <c r="B1676" t="str">
        <f>T("   Margarine (à l'excl. de la margarine liquide)")</f>
        <v xml:space="preserve">   Margarine (à l'excl. de la margarine liquide)</v>
      </c>
      <c r="C1676">
        <v>63992274</v>
      </c>
      <c r="D1676">
        <v>392806</v>
      </c>
    </row>
    <row r="1677" spans="1:4" x14ac:dyDescent="0.25">
      <c r="A1677" t="str">
        <f>T("   151790")</f>
        <v xml:space="preserve">   151790</v>
      </c>
      <c r="B1677" t="s">
        <v>36</v>
      </c>
      <c r="C1677">
        <v>2000000</v>
      </c>
      <c r="D1677">
        <v>9600</v>
      </c>
    </row>
    <row r="1678" spans="1:4" x14ac:dyDescent="0.25">
      <c r="A1678" t="str">
        <f>T("   160100")</f>
        <v xml:space="preserve">   160100</v>
      </c>
      <c r="B1678" t="str">
        <f>T("   Saucisses, saucissons et produits simil., de viande, d'abats ou de sang; préparations alimentaires à base de ces produits")</f>
        <v xml:space="preserve">   Saucisses, saucissons et produits simil., de viande, d'abats ou de sang; préparations alimentaires à base de ces produits</v>
      </c>
      <c r="C1678">
        <v>16500000</v>
      </c>
      <c r="D1678">
        <v>102060</v>
      </c>
    </row>
    <row r="1679" spans="1:4" x14ac:dyDescent="0.25">
      <c r="A1679" t="str">
        <f>T("   160239")</f>
        <v xml:space="preserve">   160239</v>
      </c>
      <c r="B1679" t="s">
        <v>40</v>
      </c>
      <c r="C1679">
        <v>13500000</v>
      </c>
      <c r="D1679">
        <v>72110</v>
      </c>
    </row>
    <row r="1680" spans="1:4" x14ac:dyDescent="0.25">
      <c r="A1680" t="str">
        <f>T("   160290")</f>
        <v xml:space="preserve">   160290</v>
      </c>
      <c r="B1680" t="s">
        <v>43</v>
      </c>
      <c r="C1680">
        <v>2500000</v>
      </c>
      <c r="D1680">
        <v>12300</v>
      </c>
    </row>
    <row r="1681" spans="1:4" x14ac:dyDescent="0.25">
      <c r="A1681" t="str">
        <f>T("   160413")</f>
        <v xml:space="preserve">   160413</v>
      </c>
      <c r="B1681" t="str">
        <f>T("   Préparations et conserves de sardines, sardinelles, sprats ou esprots, entiers ou en morceaux (à l'excl. des préparations et conserves de poissons hachés)")</f>
        <v xml:space="preserve">   Préparations et conserves de sardines, sardinelles, sprats ou esprots, entiers ou en morceaux (à l'excl. des préparations et conserves de poissons hachés)</v>
      </c>
      <c r="C1681">
        <v>301239983</v>
      </c>
      <c r="D1681">
        <v>2315723</v>
      </c>
    </row>
    <row r="1682" spans="1:4" x14ac:dyDescent="0.25">
      <c r="A1682" t="str">
        <f>T("   160414")</f>
        <v xml:space="preserve">   160414</v>
      </c>
      <c r="B1682" t="str">
        <f>T("   Préparations et conserves de thons, de listaos et de bonites 'Sarda spp.', entiers ou en morceaux (à l'excl. des préparations et conserves de thons, de listaos et de bonites hachés)")</f>
        <v xml:space="preserve">   Préparations et conserves de thons, de listaos et de bonites 'Sarda spp.', entiers ou en morceaux (à l'excl. des préparations et conserves de thons, de listaos et de bonites hachés)</v>
      </c>
      <c r="C1682">
        <v>1500000</v>
      </c>
      <c r="D1682">
        <v>9800</v>
      </c>
    </row>
    <row r="1683" spans="1:4" x14ac:dyDescent="0.25">
      <c r="A1683" t="str">
        <f>T("   160420")</f>
        <v xml:space="preserve">   160420</v>
      </c>
      <c r="B1683" t="str">
        <f>T("   Préparations et conserves de poissons (à l'excl. des préparations et conserves de poissons entiers ou en morceaux)")</f>
        <v xml:space="preserve">   Préparations et conserves de poissons (à l'excl. des préparations et conserves de poissons entiers ou en morceaux)</v>
      </c>
      <c r="C1683">
        <v>8500000</v>
      </c>
      <c r="D1683">
        <v>54728</v>
      </c>
    </row>
    <row r="1684" spans="1:4" x14ac:dyDescent="0.25">
      <c r="A1684" t="str">
        <f>T("   170191")</f>
        <v xml:space="preserve">   170191</v>
      </c>
      <c r="B1684" t="str">
        <f>T("   Sucres de canne ou de betterave, à l'état solide, additionnés d'aromatisants ou de colorants")</f>
        <v xml:space="preserve">   Sucres de canne ou de betterave, à l'état solide, additionnés d'aromatisants ou de colorants</v>
      </c>
      <c r="C1684">
        <v>134536894.45500001</v>
      </c>
      <c r="D1684">
        <v>665000</v>
      </c>
    </row>
    <row r="1685" spans="1:4" x14ac:dyDescent="0.25">
      <c r="A1685" t="str">
        <f>T("   170199")</f>
        <v xml:space="preserve">   170199</v>
      </c>
      <c r="B1685"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1685">
        <v>1624030305.954</v>
      </c>
      <c r="D1685">
        <v>8162648</v>
      </c>
    </row>
    <row r="1686" spans="1:4" x14ac:dyDescent="0.25">
      <c r="A1686" t="str">
        <f>T("   170410")</f>
        <v xml:space="preserve">   170410</v>
      </c>
      <c r="B1686" t="str">
        <f>T("   Gommes à mâcher [chewing-gum], même enrobées de sucre")</f>
        <v xml:space="preserve">   Gommes à mâcher [chewing-gum], même enrobées de sucre</v>
      </c>
      <c r="C1686">
        <v>258318478</v>
      </c>
      <c r="D1686">
        <v>1411183</v>
      </c>
    </row>
    <row r="1687" spans="1:4" x14ac:dyDescent="0.25">
      <c r="A1687" t="str">
        <f>T("   170490")</f>
        <v xml:space="preserve">   170490</v>
      </c>
      <c r="B1687" t="str">
        <f>T("   Sucreries sans cacao, y.c. le chocolat blanc (à l'excl. des gommes à mâcher)")</f>
        <v xml:space="preserve">   Sucreries sans cacao, y.c. le chocolat blanc (à l'excl. des gommes à mâcher)</v>
      </c>
      <c r="C1687">
        <v>990704133</v>
      </c>
      <c r="D1687">
        <v>5549968</v>
      </c>
    </row>
    <row r="1688" spans="1:4" x14ac:dyDescent="0.25">
      <c r="A1688" t="str">
        <f>T("   180200")</f>
        <v xml:space="preserve">   180200</v>
      </c>
      <c r="B1688" t="str">
        <f>T("   Coques, pellicules [pelures] et autres déchets de cacao")</f>
        <v xml:space="preserve">   Coques, pellicules [pelures] et autres déchets de cacao</v>
      </c>
      <c r="C1688">
        <v>4858450</v>
      </c>
      <c r="D1688">
        <v>298385</v>
      </c>
    </row>
    <row r="1689" spans="1:4" x14ac:dyDescent="0.25">
      <c r="A1689" t="str">
        <f>T("   180610")</f>
        <v xml:space="preserve">   180610</v>
      </c>
      <c r="B1689" t="str">
        <f>T("   Poudre de cacao, additionnée de sucre ou d'autres édulcorants")</f>
        <v xml:space="preserve">   Poudre de cacao, additionnée de sucre ou d'autres édulcorants</v>
      </c>
      <c r="C1689">
        <v>53986182</v>
      </c>
      <c r="D1689">
        <v>195964</v>
      </c>
    </row>
    <row r="1690" spans="1:4" x14ac:dyDescent="0.25">
      <c r="A1690" t="str">
        <f>T("   180620")</f>
        <v xml:space="preserve">   180620</v>
      </c>
      <c r="B1690" t="s">
        <v>46</v>
      </c>
      <c r="C1690">
        <v>2000000</v>
      </c>
      <c r="D1690">
        <v>8700</v>
      </c>
    </row>
    <row r="1691" spans="1:4" x14ac:dyDescent="0.25">
      <c r="A1691" t="str">
        <f>T("   180690")</f>
        <v xml:space="preserve">   180690</v>
      </c>
      <c r="B1691" t="str">
        <f>T("   Chocolat et autres préparations alimentaires contenant du cacao, en récipients ou en emballages immédiats d'un contenu &lt;= 2 kg (à l'excl. de la poudre de cacao et des produits présentés en tablettes, barres ou bâtons)")</f>
        <v xml:space="preserve">   Chocolat et autres préparations alimentaires contenant du cacao, en récipients ou en emballages immédiats d'un contenu &lt;= 2 kg (à l'excl. de la poudre de cacao et des produits présentés en tablettes, barres ou bâtons)</v>
      </c>
      <c r="C1691">
        <v>172654540</v>
      </c>
      <c r="D1691">
        <v>312747</v>
      </c>
    </row>
    <row r="1692" spans="1:4" x14ac:dyDescent="0.25">
      <c r="A1692" t="str">
        <f>T("   190110")</f>
        <v xml:space="preserve">   190110</v>
      </c>
      <c r="B1692" t="s">
        <v>47</v>
      </c>
      <c r="C1692">
        <v>30500000</v>
      </c>
      <c r="D1692">
        <v>178610</v>
      </c>
    </row>
    <row r="1693" spans="1:4" x14ac:dyDescent="0.25">
      <c r="A1693" t="str">
        <f>T("   190190")</f>
        <v xml:space="preserve">   190190</v>
      </c>
      <c r="B1693" t="s">
        <v>49</v>
      </c>
      <c r="C1693">
        <v>199564528</v>
      </c>
      <c r="D1693">
        <v>539439</v>
      </c>
    </row>
    <row r="1694" spans="1:4" x14ac:dyDescent="0.25">
      <c r="A1694" t="str">
        <f>T("   190219")</f>
        <v xml:space="preserve">   190219</v>
      </c>
      <c r="B1694" t="str">
        <f>T("   PÂTES ALIMENTAIRES NON-CUITES NI FARCIES NI AUTREMENT PRÉPARÉES, NE CONTENANT PAS D'OEUFS")</f>
        <v xml:space="preserve">   PÂTES ALIMENTAIRES NON-CUITES NI FARCIES NI AUTREMENT PRÉPARÉES, NE CONTENANT PAS D'OEUFS</v>
      </c>
      <c r="C1694">
        <v>513673000</v>
      </c>
      <c r="D1694">
        <v>4184536</v>
      </c>
    </row>
    <row r="1695" spans="1:4" x14ac:dyDescent="0.25">
      <c r="A1695" t="str">
        <f>T("   190220")</f>
        <v xml:space="preserve">   190220</v>
      </c>
      <c r="B1695" t="str">
        <f>T("   Pâtes alimentaires, farcies de viande ou d'autres substances, même cuites ou autrement préparées")</f>
        <v xml:space="preserve">   Pâtes alimentaires, farcies de viande ou d'autres substances, même cuites ou autrement préparées</v>
      </c>
      <c r="C1695">
        <v>5904</v>
      </c>
      <c r="D1695">
        <v>2</v>
      </c>
    </row>
    <row r="1696" spans="1:4" x14ac:dyDescent="0.25">
      <c r="A1696" t="str">
        <f>T("   190230")</f>
        <v xml:space="preserve">   190230</v>
      </c>
      <c r="B1696" t="str">
        <f>T("   Pâtes alimentaires, cuites ou autrement préparées (à l'excl. des pâtes alimentaires farcies)")</f>
        <v xml:space="preserve">   Pâtes alimentaires, cuites ou autrement préparées (à l'excl. des pâtes alimentaires farcies)</v>
      </c>
      <c r="C1696">
        <v>1054055076</v>
      </c>
      <c r="D1696">
        <v>7636261</v>
      </c>
    </row>
    <row r="1697" spans="1:4" x14ac:dyDescent="0.25">
      <c r="A1697" t="str">
        <f>T("   190240")</f>
        <v xml:space="preserve">   190240</v>
      </c>
      <c r="B1697" t="str">
        <f>T("   Couscous, même préparé")</f>
        <v xml:space="preserve">   Couscous, même préparé</v>
      </c>
      <c r="C1697">
        <v>12500000</v>
      </c>
      <c r="D1697">
        <v>85850</v>
      </c>
    </row>
    <row r="1698" spans="1:4" x14ac:dyDescent="0.25">
      <c r="A1698" t="str">
        <f>T("   190410")</f>
        <v xml:space="preserve">   190410</v>
      </c>
      <c r="B1698" t="str">
        <f>T("   PRODUITS À BASE DE CÉRÉALES OBTENUS PAR SOUFFLAGE OU GRILLAGE [CORN FLAKES, P.EX.]")</f>
        <v xml:space="preserve">   PRODUITS À BASE DE CÉRÉALES OBTENUS PAR SOUFFLAGE OU GRILLAGE [CORN FLAKES, P.EX.]</v>
      </c>
      <c r="C1698">
        <v>8624948</v>
      </c>
      <c r="D1698">
        <v>29192</v>
      </c>
    </row>
    <row r="1699" spans="1:4" x14ac:dyDescent="0.25">
      <c r="A1699" t="str">
        <f>T("   190430")</f>
        <v xml:space="preserve">   190430</v>
      </c>
      <c r="B1699" t="str">
        <f>T("   Bulgur de blé sous forme de grains travaillés, obtenu par cuisson des grains de blé dur")</f>
        <v xml:space="preserve">   Bulgur de blé sous forme de grains travaillés, obtenu par cuisson des grains de blé dur</v>
      </c>
      <c r="C1699">
        <v>1000000</v>
      </c>
      <c r="D1699">
        <v>7060</v>
      </c>
    </row>
    <row r="1700" spans="1:4" x14ac:dyDescent="0.25">
      <c r="A1700" t="str">
        <f>T("   190490")</f>
        <v xml:space="preserve">   190490</v>
      </c>
      <c r="B1700" t="s">
        <v>50</v>
      </c>
      <c r="C1700">
        <v>3158589</v>
      </c>
      <c r="D1700">
        <v>18072</v>
      </c>
    </row>
    <row r="1701" spans="1:4" x14ac:dyDescent="0.25">
      <c r="A1701" t="str">
        <f>T("   190530")</f>
        <v xml:space="preserve">   190530</v>
      </c>
      <c r="B1701" t="str">
        <f>T("   BISCUITS ADDITIONNES D'EDULCORANTS, GAUFRES ET GAUFRETTES, MÊME ADDITIONNES DE CACAO (À L'EXCL. DES GAUFRES ET GAUFRETTES AYANT UNE TENEUR EN EAU &gt; 10%)")</f>
        <v xml:space="preserve">   BISCUITS ADDITIONNES D'EDULCORANTS, GAUFRES ET GAUFRETTES, MÊME ADDITIONNES DE CACAO (À L'EXCL. DES GAUFRES ET GAUFRETTES AYANT UNE TENEUR EN EAU &gt; 10%)</v>
      </c>
      <c r="C1701">
        <v>146556</v>
      </c>
      <c r="D1701">
        <v>400</v>
      </c>
    </row>
    <row r="1702" spans="1:4" x14ac:dyDescent="0.25">
      <c r="A1702" t="str">
        <f>T("   190531")</f>
        <v xml:space="preserve">   190531</v>
      </c>
      <c r="B1702" t="str">
        <f>T("   Biscuits additionnés d'édulcorants")</f>
        <v xml:space="preserve">   Biscuits additionnés d'édulcorants</v>
      </c>
      <c r="C1702">
        <v>17744994</v>
      </c>
      <c r="D1702">
        <v>76185.259999999995</v>
      </c>
    </row>
    <row r="1703" spans="1:4" x14ac:dyDescent="0.25">
      <c r="A1703" t="str">
        <f>T("   190590")</f>
        <v xml:space="preserve">   190590</v>
      </c>
      <c r="B1703" t="s">
        <v>51</v>
      </c>
      <c r="C1703">
        <v>156275714</v>
      </c>
      <c r="D1703">
        <v>710556</v>
      </c>
    </row>
    <row r="1704" spans="1:4" x14ac:dyDescent="0.25">
      <c r="A1704" t="str">
        <f>T("   200190")</f>
        <v xml:space="preserve">   200190</v>
      </c>
      <c r="B1704" t="str">
        <f>T("   Légumes, fruits et autres parties comestibles de plantes, préparés ou conservés au vinaigre ou à l'acide acétique (à l'excl. des concombres et des cornichons)")</f>
        <v xml:space="preserve">   Légumes, fruits et autres parties comestibles de plantes, préparés ou conservés au vinaigre ou à l'acide acétique (à l'excl. des concombres et des cornichons)</v>
      </c>
      <c r="C1704">
        <v>34000000</v>
      </c>
      <c r="D1704">
        <v>221649</v>
      </c>
    </row>
    <row r="1705" spans="1:4" x14ac:dyDescent="0.25">
      <c r="A1705" t="str">
        <f>T("   200290")</f>
        <v xml:space="preserve">   200290</v>
      </c>
      <c r="B1705"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1705">
        <v>2510622841</v>
      </c>
      <c r="D1705">
        <v>14853574.800000001</v>
      </c>
    </row>
    <row r="1706" spans="1:4" x14ac:dyDescent="0.25">
      <c r="A1706" t="str">
        <f>T("   200390")</f>
        <v xml:space="preserve">   200390</v>
      </c>
      <c r="B1706" t="str">
        <f>T("   Champignons, préparés ou conservés autrement qu'au vinaigre ou à l'acide acétique (à l'excl. des champignons du genre 'Agaricus')")</f>
        <v xml:space="preserve">   Champignons, préparés ou conservés autrement qu'au vinaigre ou à l'acide acétique (à l'excl. des champignons du genre 'Agaricus')</v>
      </c>
      <c r="C1706">
        <v>1000000</v>
      </c>
      <c r="D1706">
        <v>5825</v>
      </c>
    </row>
    <row r="1707" spans="1:4" x14ac:dyDescent="0.25">
      <c r="A1707" t="str">
        <f>T("   200490")</f>
        <v xml:space="preserve">   200490</v>
      </c>
      <c r="B1707" t="str">
        <f>T("   LÉGUMES ET MÉLANGES DE LÉGUMES, PRÉPARÉS OU CONSERVÉS AUTREMENT QU'AU VINAIGRE OU À L'ACIDE ACÉTIQUE, CONGELÉS (À L'EXCL. DES CONFITS AU SUCRE AINSI QUE DES TOMATES, DES CHAMPIGNONS, DES TRUFFES ET DES POMMES DE TERRE, NON-MÉLANGÉS)")</f>
        <v xml:space="preserve">   LÉGUMES ET MÉLANGES DE LÉGUMES, PRÉPARÉS OU CONSERVÉS AUTREMENT QU'AU VINAIGRE OU À L'ACIDE ACÉTIQUE, CONGELÉS (À L'EXCL. DES CONFITS AU SUCRE AINSI QUE DES TOMATES, DES CHAMPIGNONS, DES TRUFFES ET DES POMMES DE TERRE, NON-MÉLANGÉS)</v>
      </c>
      <c r="C1707">
        <v>3669163</v>
      </c>
      <c r="D1707">
        <v>15427</v>
      </c>
    </row>
    <row r="1708" spans="1:4" x14ac:dyDescent="0.25">
      <c r="A1708" t="str">
        <f>T("   200540")</f>
        <v xml:space="preserve">   200540</v>
      </c>
      <c r="B1708" t="str">
        <f>T("   Pois [Pisum sativum], préparés ou conservés autrement qu'au vinaigre ou à l'acide acétique, non congelés")</f>
        <v xml:space="preserve">   Pois [Pisum sativum], préparés ou conservés autrement qu'au vinaigre ou à l'acide acétique, non congelés</v>
      </c>
      <c r="C1708">
        <v>27810928</v>
      </c>
      <c r="D1708">
        <v>80669</v>
      </c>
    </row>
    <row r="1709" spans="1:4" x14ac:dyDescent="0.25">
      <c r="A1709" t="str">
        <f>T("   200551")</f>
        <v xml:space="preserve">   200551</v>
      </c>
      <c r="B1709" t="str">
        <f>T("   Haricots [Vigna spp., Phaseolus spp.], en grains, préparés ou conservés autrement qu'au vinaigre ou à l'acide acétique, non congelés")</f>
        <v xml:space="preserve">   Haricots [Vigna spp., Phaseolus spp.], en grains, préparés ou conservés autrement qu'au vinaigre ou à l'acide acétique, non congelés</v>
      </c>
      <c r="C1709">
        <v>4000000</v>
      </c>
      <c r="D1709">
        <v>15700</v>
      </c>
    </row>
    <row r="1710" spans="1:4" x14ac:dyDescent="0.25">
      <c r="A1710" t="str">
        <f>T("   200559")</f>
        <v xml:space="preserve">   200559</v>
      </c>
      <c r="B1710" t="str">
        <f>T("   Haricots [Vigna spp., Phaseolus spp.], préparés ou conservés autrement qu'au vinaigre ou à l'acide acétique, non congelés (à l'excl. des haricots en grains)")</f>
        <v xml:space="preserve">   Haricots [Vigna spp., Phaseolus spp.], préparés ou conservés autrement qu'au vinaigre ou à l'acide acétique, non congelés (à l'excl. des haricots en grains)</v>
      </c>
      <c r="C1710">
        <v>3527393</v>
      </c>
      <c r="D1710">
        <v>25141</v>
      </c>
    </row>
    <row r="1711" spans="1:4" x14ac:dyDescent="0.25">
      <c r="A1711" t="str">
        <f>T("   200580")</f>
        <v xml:space="preserve">   200580</v>
      </c>
      <c r="B1711" t="str">
        <f>T("   Maïs doux [Zea mays var. saccharata], préparé ou conservé autrement qu'au vinaigre ou à l'acide acétique, non congelé")</f>
        <v xml:space="preserve">   Maïs doux [Zea mays var. saccharata], préparé ou conservé autrement qu'au vinaigre ou à l'acide acétique, non congelé</v>
      </c>
      <c r="C1711">
        <v>10342402</v>
      </c>
      <c r="D1711">
        <v>93510</v>
      </c>
    </row>
    <row r="1712" spans="1:4" x14ac:dyDescent="0.25">
      <c r="A1712" t="str">
        <f>T("   200590")</f>
        <v xml:space="preserve">   200590</v>
      </c>
      <c r="B1712" t="s">
        <v>52</v>
      </c>
      <c r="C1712">
        <v>2155477</v>
      </c>
      <c r="D1712">
        <v>22728</v>
      </c>
    </row>
    <row r="1713" spans="1:4" x14ac:dyDescent="0.25">
      <c r="A1713" t="str">
        <f>T("   200710")</f>
        <v xml:space="preserve">   200710</v>
      </c>
      <c r="B1713" t="s">
        <v>53</v>
      </c>
      <c r="C1713">
        <v>2523927</v>
      </c>
      <c r="D1713">
        <v>31830</v>
      </c>
    </row>
    <row r="1714" spans="1:4" x14ac:dyDescent="0.25">
      <c r="A1714" t="str">
        <f>T("   200799")</f>
        <v xml:space="preserve">   200799</v>
      </c>
      <c r="B1714" t="s">
        <v>54</v>
      </c>
      <c r="C1714">
        <v>8400000</v>
      </c>
      <c r="D1714">
        <v>45503</v>
      </c>
    </row>
    <row r="1715" spans="1:4" x14ac:dyDescent="0.25">
      <c r="A1715" t="str">
        <f>T("   200811")</f>
        <v xml:space="preserve">   200811</v>
      </c>
      <c r="B1715" t="str">
        <f>T("   Arachides, préparées ou conservées (sauf confites au sucre)")</f>
        <v xml:space="preserve">   Arachides, préparées ou conservées (sauf confites au sucre)</v>
      </c>
      <c r="C1715">
        <v>2125000</v>
      </c>
      <c r="D1715">
        <v>5260</v>
      </c>
    </row>
    <row r="1716" spans="1:4" x14ac:dyDescent="0.25">
      <c r="A1716" t="str">
        <f>T("   200919")</f>
        <v xml:space="preserve">   200919</v>
      </c>
      <c r="B1716" t="str">
        <f>T("   JUS D'ORANGE, NON-FERMENTÉS, SANS ADDITION D'ALCOOL, AVEC OU SANS ADDITION DE SUCRE OU D'AUTRES ÉDULCORANTS (À L'EXCL. DES JUS CONGELÉS ET DES JUS D'UNE VALEUR BRIX &lt;= 20 À 20°C)")</f>
        <v xml:space="preserve">   JUS D'ORANGE, NON-FERMENTÉS, SANS ADDITION D'ALCOOL, AVEC OU SANS ADDITION DE SUCRE OU D'AUTRES ÉDULCORANTS (À L'EXCL. DES JUS CONGELÉS ET DES JUS D'UNE VALEUR BRIX &lt;= 20 À 20°C)</v>
      </c>
      <c r="C1716">
        <v>11071599</v>
      </c>
      <c r="D1716">
        <v>64788</v>
      </c>
    </row>
    <row r="1717" spans="1:4" x14ac:dyDescent="0.25">
      <c r="A1717" t="str">
        <f>T("   200939")</f>
        <v xml:space="preserve">   200939</v>
      </c>
      <c r="B1717" t="str">
        <f>T("   JUS D'AGRUMES, NON-FERMENTÉS, SANS ADDITION D'ALCOOL, AVEC OU SANS ADDITION DE SUCRE OU D'AUTRES ÉDULCORANTS, D'UNE VALEUR BRIX &gt; 20 À 20°C (À L'EXCL. DES MÉLANGES AINSI QUE DES JUS D'ORANGE, DE PAMPLEMOUSSE OU DE POMELO)")</f>
        <v xml:space="preserve">   JUS D'AGRUMES, NON-FERMENTÉS, SANS ADDITION D'ALCOOL, AVEC OU SANS ADDITION DE SUCRE OU D'AUTRES ÉDULCORANTS, D'UNE VALEUR BRIX &gt; 20 À 20°C (À L'EXCL. DES MÉLANGES AINSI QUE DES JUS D'ORANGE, DE PAMPLEMOUSSE OU DE POMELO)</v>
      </c>
      <c r="C1717">
        <v>49854000</v>
      </c>
      <c r="D1717">
        <v>258240</v>
      </c>
    </row>
    <row r="1718" spans="1:4" x14ac:dyDescent="0.25">
      <c r="A1718" t="str">
        <f>T("   200949")</f>
        <v xml:space="preserve">   200949</v>
      </c>
      <c r="B1718" t="str">
        <f>T("   JUS D'ANANAS, NON-FERMENTÉS, SANS ADDITION D'ALCOOL, AVEC OU SANS ADDITION DE SUCRE OU D'AUTRES ÉDULCORANTS, D'UNE VALEUR BRIX &gt; 20 À 20°C")</f>
        <v xml:space="preserve">   JUS D'ANANAS, NON-FERMENTÉS, SANS ADDITION D'ALCOOL, AVEC OU SANS ADDITION DE SUCRE OU D'AUTRES ÉDULCORANTS, D'UNE VALEUR BRIX &gt; 20 À 20°C</v>
      </c>
      <c r="C1718">
        <v>11033958</v>
      </c>
      <c r="D1718">
        <v>53094</v>
      </c>
    </row>
    <row r="1719" spans="1:4" x14ac:dyDescent="0.25">
      <c r="A1719" t="str">
        <f>T("   200980")</f>
        <v xml:space="preserve">   200980</v>
      </c>
      <c r="B1719"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1719">
        <v>29336972</v>
      </c>
      <c r="D1719">
        <v>113347</v>
      </c>
    </row>
    <row r="1720" spans="1:4" x14ac:dyDescent="0.25">
      <c r="A1720" t="str">
        <f>T("   200990")</f>
        <v xml:space="preserve">   200990</v>
      </c>
      <c r="B1720"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1720">
        <v>9242315</v>
      </c>
      <c r="D1720">
        <v>31840</v>
      </c>
    </row>
    <row r="1721" spans="1:4" x14ac:dyDescent="0.25">
      <c r="A1721" t="str">
        <f>T("   210112")</f>
        <v xml:space="preserve">   210112</v>
      </c>
      <c r="B1721" t="str">
        <f>T("   Préparations à base d'extraits, essences ou concentrés de café ou à base de café")</f>
        <v xml:space="preserve">   Préparations à base d'extraits, essences ou concentrés de café ou à base de café</v>
      </c>
      <c r="C1721">
        <v>20091302</v>
      </c>
      <c r="D1721">
        <v>63238.93</v>
      </c>
    </row>
    <row r="1722" spans="1:4" x14ac:dyDescent="0.25">
      <c r="A1722" t="str">
        <f>T("   210210")</f>
        <v xml:space="preserve">   210210</v>
      </c>
      <c r="B1722" t="str">
        <f>T("   Levures vivantes")</f>
        <v xml:space="preserve">   Levures vivantes</v>
      </c>
      <c r="C1722">
        <v>156000000</v>
      </c>
      <c r="D1722">
        <v>841770</v>
      </c>
    </row>
    <row r="1723" spans="1:4" x14ac:dyDescent="0.25">
      <c r="A1723" t="str">
        <f>T("   210220")</f>
        <v xml:space="preserve">   210220</v>
      </c>
      <c r="B1723" t="str">
        <f>T("   Levures mortes; autres micro-organismes monocellulaires morts (à l'excl. des micro-organismes monocellulaires conditionnés comme médicaments)")</f>
        <v xml:space="preserve">   Levures mortes; autres micro-organismes monocellulaires morts (à l'excl. des micro-organismes monocellulaires conditionnés comme médicaments)</v>
      </c>
      <c r="C1723">
        <v>8000000</v>
      </c>
      <c r="D1723">
        <v>38785</v>
      </c>
    </row>
    <row r="1724" spans="1:4" x14ac:dyDescent="0.25">
      <c r="A1724" t="str">
        <f>T("   210230")</f>
        <v xml:space="preserve">   210230</v>
      </c>
      <c r="B1724" t="str">
        <f>T("   Poudres à lever préparées")</f>
        <v xml:space="preserve">   Poudres à lever préparées</v>
      </c>
      <c r="C1724">
        <v>34500000</v>
      </c>
      <c r="D1724">
        <v>178370</v>
      </c>
    </row>
    <row r="1725" spans="1:4" x14ac:dyDescent="0.25">
      <c r="A1725" t="str">
        <f>T("   210320")</f>
        <v xml:space="preserve">   210320</v>
      </c>
      <c r="B1725" t="str">
        <f>T("   Tomato ketchup et autres sauces tomates")</f>
        <v xml:space="preserve">   Tomato ketchup et autres sauces tomates</v>
      </c>
      <c r="C1725">
        <v>179224</v>
      </c>
      <c r="D1725">
        <v>837</v>
      </c>
    </row>
    <row r="1726" spans="1:4" x14ac:dyDescent="0.25">
      <c r="A1726" t="str">
        <f>T("   210330")</f>
        <v xml:space="preserve">   210330</v>
      </c>
      <c r="B1726" t="str">
        <f>T("   Farine de moutarde et moutarde préparée")</f>
        <v xml:space="preserve">   Farine de moutarde et moutarde préparée</v>
      </c>
      <c r="C1726">
        <v>16500000</v>
      </c>
      <c r="D1726">
        <v>92800</v>
      </c>
    </row>
    <row r="1727" spans="1:4" x14ac:dyDescent="0.25">
      <c r="A1727" t="str">
        <f>T("   210390")</f>
        <v xml:space="preserve">   210390</v>
      </c>
      <c r="B1727"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1727">
        <v>326145123</v>
      </c>
      <c r="D1727">
        <v>2124335.7400000002</v>
      </c>
    </row>
    <row r="1728" spans="1:4" x14ac:dyDescent="0.25">
      <c r="A1728" t="str">
        <f>T("   210410")</f>
        <v xml:space="preserve">   210410</v>
      </c>
      <c r="B1728" t="str">
        <f>T("   Préparations pour soupes, potages ou bouillons; soupes, potages ou bouillons préparés")</f>
        <v xml:space="preserve">   Préparations pour soupes, potages ou bouillons; soupes, potages ou bouillons préparés</v>
      </c>
      <c r="C1728">
        <v>448897807</v>
      </c>
      <c r="D1728">
        <v>2669212</v>
      </c>
    </row>
    <row r="1729" spans="1:4" x14ac:dyDescent="0.25">
      <c r="A1729" t="str">
        <f>T("   210420")</f>
        <v xml:space="preserve">   210420</v>
      </c>
      <c r="B1729" t="s">
        <v>59</v>
      </c>
      <c r="C1729">
        <v>7357782</v>
      </c>
      <c r="D1729">
        <v>12357</v>
      </c>
    </row>
    <row r="1730" spans="1:4" x14ac:dyDescent="0.25">
      <c r="A1730" t="str">
        <f>T("   210610")</f>
        <v xml:space="preserve">   210610</v>
      </c>
      <c r="B1730" t="str">
        <f>T("   Concentrats de protéines et substances protéiques texturées")</f>
        <v xml:space="preserve">   Concentrats de protéines et substances protéiques texturées</v>
      </c>
      <c r="C1730">
        <v>850023</v>
      </c>
      <c r="D1730">
        <v>4085</v>
      </c>
    </row>
    <row r="1731" spans="1:4" x14ac:dyDescent="0.25">
      <c r="A1731" t="str">
        <f>T("   210690")</f>
        <v xml:space="preserve">   210690</v>
      </c>
      <c r="B1731" t="str">
        <f>T("   Préparations alimentaires, n.d.a.")</f>
        <v xml:space="preserve">   Préparations alimentaires, n.d.a.</v>
      </c>
      <c r="C1731">
        <v>23633964</v>
      </c>
      <c r="D1731">
        <v>52261.2</v>
      </c>
    </row>
    <row r="1732" spans="1:4" x14ac:dyDescent="0.25">
      <c r="A1732" t="str">
        <f>T("   220110")</f>
        <v xml:space="preserve">   220110</v>
      </c>
      <c r="B1732" t="str">
        <f>T("   Eaux minérales et eaux gazéifiées, non additionnées de sucre ou d'autres édulcorants ni aromatisées")</f>
        <v xml:space="preserve">   Eaux minérales et eaux gazéifiées, non additionnées de sucre ou d'autres édulcorants ni aromatisées</v>
      </c>
      <c r="C1732">
        <v>2661275</v>
      </c>
      <c r="D1732">
        <v>36318</v>
      </c>
    </row>
    <row r="1733" spans="1:4" x14ac:dyDescent="0.25">
      <c r="A1733" t="str">
        <f>T("   220190")</f>
        <v xml:space="preserve">   220190</v>
      </c>
      <c r="B1733" t="str">
        <f>T("   Eaux, non additionnées de sucre ou d'autres édulcorants ni aromatisées (à l'excl. des eaux minérales, des eaux gazéifiées, de l'eau de mer ainsi que des eaux distillées, de conductibilité ou de même degré de pureté); glace et neige")</f>
        <v xml:space="preserve">   Eaux, non additionnées de sucre ou d'autres édulcorants ni aromatisées (à l'excl. des eaux minérales, des eaux gazéifiées, de l'eau de mer ainsi que des eaux distillées, de conductibilité ou de même degré de pureté); glace et neige</v>
      </c>
      <c r="C1733">
        <v>2244490</v>
      </c>
      <c r="D1733">
        <v>15956</v>
      </c>
    </row>
    <row r="1734" spans="1:4" x14ac:dyDescent="0.25">
      <c r="A1734" t="str">
        <f>T("   220210")</f>
        <v xml:space="preserve">   220210</v>
      </c>
      <c r="B1734"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1734">
        <v>68507237</v>
      </c>
      <c r="D1734">
        <v>232099</v>
      </c>
    </row>
    <row r="1735" spans="1:4" x14ac:dyDescent="0.25">
      <c r="A1735" t="str">
        <f>T("   220290")</f>
        <v xml:space="preserve">   220290</v>
      </c>
      <c r="B1735" t="str">
        <f>T("   BOISSONS NON-ALCOOLIQUES (À L'EXCL. DES EAUX, DES JUS DE FRUITS OU DE LÉGUMES AINSI QUE DU LAIT)")</f>
        <v xml:space="preserve">   BOISSONS NON-ALCOOLIQUES (À L'EXCL. DES EAUX, DES JUS DE FRUITS OU DE LÉGUMES AINSI QUE DU LAIT)</v>
      </c>
      <c r="C1735">
        <v>166891563</v>
      </c>
      <c r="D1735">
        <v>921169</v>
      </c>
    </row>
    <row r="1736" spans="1:4" x14ac:dyDescent="0.25">
      <c r="A1736" t="str">
        <f>T("   220300")</f>
        <v xml:space="preserve">   220300</v>
      </c>
      <c r="B1736" t="str">
        <f>T("   Bières de malt")</f>
        <v xml:space="preserve">   Bières de malt</v>
      </c>
      <c r="C1736">
        <v>51050346</v>
      </c>
      <c r="D1736">
        <v>201781</v>
      </c>
    </row>
    <row r="1737" spans="1:4" x14ac:dyDescent="0.25">
      <c r="A1737" t="str">
        <f>T("   220410")</f>
        <v xml:space="preserve">   220410</v>
      </c>
      <c r="B1737" t="str">
        <f>T("   Vins mousseux produits à partir de raisins frais")</f>
        <v xml:space="preserve">   Vins mousseux produits à partir de raisins frais</v>
      </c>
      <c r="C1737">
        <v>15000000</v>
      </c>
      <c r="D1737">
        <v>58714</v>
      </c>
    </row>
    <row r="1738" spans="1:4" x14ac:dyDescent="0.25">
      <c r="A1738" t="str">
        <f>T("   220421")</f>
        <v xml:space="preserve">   220421</v>
      </c>
      <c r="B1738" t="str">
        <f>T("   Vins de raisins frais, y.c. les vins enrichis en alcool (à l'excl. des vins mousseux); moûts de raisins dont la fermentation a été empêchée ou arrêtée par addition d'alcool, en récipients d'une contenance &lt;= 2 l")</f>
        <v xml:space="preserve">   Vins de raisins frais, y.c. les vins enrichis en alcool (à l'excl. des vins mousseux); moûts de raisins dont la fermentation a été empêchée ou arrêtée par addition d'alcool, en récipients d'une contenance &lt;= 2 l</v>
      </c>
      <c r="C1738">
        <v>4793661</v>
      </c>
      <c r="D1738">
        <v>19777</v>
      </c>
    </row>
    <row r="1739" spans="1:4" x14ac:dyDescent="0.25">
      <c r="A1739" t="str">
        <f>T("   220429")</f>
        <v xml:space="preserve">   220429</v>
      </c>
      <c r="B1739" t="str">
        <f>T("   VINS DE RAISINS FRAIS, Y.C. LES VINS ENRICHIS EN ALCOOL, ET MOÛTS DE RAISINS DONT LA FERMENTATION A ÉTÉ EMPÊCHÉE OU ARRÊTÉE PAR ADDITION D'ALCOOL, EN RÉCIPIENTS D'UNE CONTENANCE &gt; 2 L (À L'EXCL. DES VINS MOUSSEUX)")</f>
        <v xml:space="preserve">   VINS DE RAISINS FRAIS, Y.C. LES VINS ENRICHIS EN ALCOOL, ET MOÛTS DE RAISINS DONT LA FERMENTATION A ÉTÉ EMPÊCHÉE OU ARRÊTÉE PAR ADDITION D'ALCOOL, EN RÉCIPIENTS D'UNE CONTENANCE &gt; 2 L (À L'EXCL. DES VINS MOUSSEUX)</v>
      </c>
      <c r="C1739">
        <v>12091070</v>
      </c>
      <c r="D1739">
        <v>56140</v>
      </c>
    </row>
    <row r="1740" spans="1:4" x14ac:dyDescent="0.25">
      <c r="A1740" t="str">
        <f>T("   220590")</f>
        <v xml:space="preserve">   220590</v>
      </c>
      <c r="B1740" t="str">
        <f>T("   Vermouths et autres vins de raisins frais préparés à l'aide de plantes ou de substances aromatiques, en récipients d'une contenance &gt; 2 l")</f>
        <v xml:space="preserve">   Vermouths et autres vins de raisins frais préparés à l'aide de plantes ou de substances aromatiques, en récipients d'une contenance &gt; 2 l</v>
      </c>
      <c r="C1740">
        <v>65900000</v>
      </c>
      <c r="D1740">
        <v>257160</v>
      </c>
    </row>
    <row r="1741" spans="1:4" x14ac:dyDescent="0.25">
      <c r="A1741" t="str">
        <f>T("   220600")</f>
        <v xml:space="preserve">   220600</v>
      </c>
      <c r="B1741" t="s">
        <v>60</v>
      </c>
      <c r="C1741">
        <v>4000000</v>
      </c>
      <c r="D1741">
        <v>13715</v>
      </c>
    </row>
    <row r="1742" spans="1:4" x14ac:dyDescent="0.25">
      <c r="A1742" t="str">
        <f>T("   220710")</f>
        <v xml:space="preserve">   220710</v>
      </c>
      <c r="B1742" t="str">
        <f>T("   Alcool éthylique non dénaturé d'un titre alcoométrique volumique &gt;= 80% vol")</f>
        <v xml:space="preserve">   Alcool éthylique non dénaturé d'un titre alcoométrique volumique &gt;= 80% vol</v>
      </c>
      <c r="C1742">
        <v>4000000</v>
      </c>
      <c r="D1742">
        <v>14660</v>
      </c>
    </row>
    <row r="1743" spans="1:4" x14ac:dyDescent="0.25">
      <c r="A1743" t="str">
        <f>T("   220830")</f>
        <v xml:space="preserve">   220830</v>
      </c>
      <c r="B1743" t="str">
        <f>T("   Whiskies")</f>
        <v xml:space="preserve">   Whiskies</v>
      </c>
      <c r="C1743">
        <v>9160826</v>
      </c>
      <c r="D1743">
        <v>32651</v>
      </c>
    </row>
    <row r="1744" spans="1:4" x14ac:dyDescent="0.25">
      <c r="A1744" t="str">
        <f>T("   220840")</f>
        <v xml:space="preserve">   220840</v>
      </c>
      <c r="B1744" t="str">
        <f>T("   RHUM ET AUTRES EAUX-DE-VIE PROVENANT DE LA DISTILLATION, APRÈS FERMENTATION, DE PRODUITS DE CANNES À SUCRE")</f>
        <v xml:space="preserve">   RHUM ET AUTRES EAUX-DE-VIE PROVENANT DE LA DISTILLATION, APRÈS FERMENTATION, DE PRODUITS DE CANNES À SUCRE</v>
      </c>
      <c r="C1744">
        <v>5000000</v>
      </c>
      <c r="D1744">
        <v>18200</v>
      </c>
    </row>
    <row r="1745" spans="1:4" x14ac:dyDescent="0.25">
      <c r="A1745" t="str">
        <f>T("   220850")</f>
        <v xml:space="preserve">   220850</v>
      </c>
      <c r="B1745" t="str">
        <f>T("   Gin et genièvre")</f>
        <v xml:space="preserve">   Gin et genièvre</v>
      </c>
      <c r="C1745">
        <v>15000000</v>
      </c>
      <c r="D1745">
        <v>58660</v>
      </c>
    </row>
    <row r="1746" spans="1:4" x14ac:dyDescent="0.25">
      <c r="A1746" t="str">
        <f>T("   220870")</f>
        <v xml:space="preserve">   220870</v>
      </c>
      <c r="B1746" t="str">
        <f>T("   LIQUEURS")</f>
        <v xml:space="preserve">   LIQUEURS</v>
      </c>
      <c r="C1746">
        <v>19500000</v>
      </c>
      <c r="D1746">
        <v>65578</v>
      </c>
    </row>
    <row r="1747" spans="1:4" x14ac:dyDescent="0.25">
      <c r="A1747" t="str">
        <f>T("   220890")</f>
        <v xml:space="preserve">   220890</v>
      </c>
      <c r="B1747" t="s">
        <v>61</v>
      </c>
      <c r="C1747">
        <v>40800000</v>
      </c>
      <c r="D1747">
        <v>176765</v>
      </c>
    </row>
    <row r="1748" spans="1:4" x14ac:dyDescent="0.25">
      <c r="A1748" t="str">
        <f>T("   220900")</f>
        <v xml:space="preserve">   220900</v>
      </c>
      <c r="B1748" t="str">
        <f>T("   Vinaigres comestibles et succédanés de vinaigre comestibles obtenus à partir d'acide acétique")</f>
        <v xml:space="preserve">   Vinaigres comestibles et succédanés de vinaigre comestibles obtenus à partir d'acide acétique</v>
      </c>
      <c r="C1748">
        <v>2000000</v>
      </c>
      <c r="D1748">
        <v>12580</v>
      </c>
    </row>
    <row r="1749" spans="1:4" x14ac:dyDescent="0.25">
      <c r="A1749" t="str">
        <f>T("   230240")</f>
        <v xml:space="preserve">   230240</v>
      </c>
      <c r="B1749" t="str">
        <f>T("   SONS, REMOULAGES ET AUTRES RÉSIDUS, MÊME AGGLOMÉRÉS SOUS FORME DE PELLETS, DU CRIBLAGE, DE LA MOUTURE OU D'AUTRES TRAITEMENTS DES CÉRÉALES (À L'EXCL. DU MAÏS OU DU FROMENT)")</f>
        <v xml:space="preserve">   SONS, REMOULAGES ET AUTRES RÉSIDUS, MÊME AGGLOMÉRÉS SOUS FORME DE PELLETS, DU CRIBLAGE, DE LA MOUTURE OU D'AUTRES TRAITEMENTS DES CÉRÉALES (À L'EXCL. DU MAÏS OU DU FROMENT)</v>
      </c>
      <c r="C1749">
        <v>2717581</v>
      </c>
      <c r="D1749">
        <v>30780</v>
      </c>
    </row>
    <row r="1750" spans="1:4" x14ac:dyDescent="0.25">
      <c r="A1750" t="str">
        <f>T("   230660")</f>
        <v xml:space="preserve">   230660</v>
      </c>
      <c r="B1750" t="str">
        <f>T("   Tourteaux et autres résidus solides, même broyés ou agglomérés sous forme de pellets, de l'extraction des graisses ou huiles de noix ou d'amandes de palmiste")</f>
        <v xml:space="preserve">   Tourteaux et autres résidus solides, même broyés ou agglomérés sous forme de pellets, de l'extraction des graisses ou huiles de noix ou d'amandes de palmiste</v>
      </c>
      <c r="C1750">
        <v>14740066</v>
      </c>
      <c r="D1750">
        <v>250660</v>
      </c>
    </row>
    <row r="1751" spans="1:4" x14ac:dyDescent="0.25">
      <c r="A1751" t="str">
        <f>T("   240220")</f>
        <v xml:space="preserve">   240220</v>
      </c>
      <c r="B1751" t="str">
        <f>T("   Cigarettes contenant du tabac")</f>
        <v xml:space="preserve">   Cigarettes contenant du tabac</v>
      </c>
      <c r="C1751">
        <v>181061948</v>
      </c>
      <c r="D1751">
        <v>69380</v>
      </c>
    </row>
    <row r="1752" spans="1:4" x14ac:dyDescent="0.25">
      <c r="A1752" t="str">
        <f>T("   240290")</f>
        <v xml:space="preserve">   240290</v>
      </c>
      <c r="B1752" t="str">
        <f>T("   Cigares, cigarillos et cigarettes, en succédanés du tabac")</f>
        <v xml:space="preserve">   Cigares, cigarillos et cigarettes, en succédanés du tabac</v>
      </c>
      <c r="C1752">
        <v>200000</v>
      </c>
      <c r="D1752">
        <v>8</v>
      </c>
    </row>
    <row r="1753" spans="1:4" x14ac:dyDescent="0.25">
      <c r="A1753" t="str">
        <f>T("   250100")</f>
        <v xml:space="preserve">   250100</v>
      </c>
      <c r="B1753" t="s">
        <v>63</v>
      </c>
      <c r="C1753">
        <v>22429600</v>
      </c>
      <c r="D1753">
        <v>368260</v>
      </c>
    </row>
    <row r="1754" spans="1:4" x14ac:dyDescent="0.25">
      <c r="A1754" t="str">
        <f>T("   250300")</f>
        <v xml:space="preserve">   250300</v>
      </c>
      <c r="B1754" t="str">
        <f>T("   Soufres de toute espèce (à l'excl. du soufre sublimé, du soufre précipité ou du soufre colloïdal)")</f>
        <v xml:space="preserve">   Soufres de toute espèce (à l'excl. du soufre sublimé, du soufre précipité ou du soufre colloïdal)</v>
      </c>
      <c r="C1754">
        <v>19467363</v>
      </c>
      <c r="D1754">
        <v>60000</v>
      </c>
    </row>
    <row r="1755" spans="1:4" x14ac:dyDescent="0.25">
      <c r="A1755" t="str">
        <f>T("   250590")</f>
        <v xml:space="preserve">   250590</v>
      </c>
      <c r="B1755" t="str">
        <f>T("   Sables naturels de toute espèce, même colorés (à l'excl. des sables aurifères, platinifères, monazités, bitumineux, asphaltiques, siliceux ou quartzeux ainsi que des sables de zircon, de rutile ou d'ilménite)")</f>
        <v xml:space="preserve">   Sables naturels de toute espèce, même colorés (à l'excl. des sables aurifères, platinifères, monazités, bitumineux, asphaltiques, siliceux ou quartzeux ainsi que des sables de zircon, de rutile ou d'ilménite)</v>
      </c>
      <c r="C1755">
        <v>5207011</v>
      </c>
      <c r="D1755">
        <v>7776</v>
      </c>
    </row>
    <row r="1756" spans="1:4" x14ac:dyDescent="0.25">
      <c r="A1756" t="str">
        <f>T("   250810")</f>
        <v xml:space="preserve">   250810</v>
      </c>
      <c r="B1756" t="str">
        <f>T("   Bentonite")</f>
        <v xml:space="preserve">   Bentonite</v>
      </c>
      <c r="C1756">
        <v>4535854</v>
      </c>
      <c r="D1756">
        <v>5200</v>
      </c>
    </row>
    <row r="1757" spans="1:4" x14ac:dyDescent="0.25">
      <c r="A1757" t="str">
        <f>T("   250840")</f>
        <v xml:space="preserve">   250840</v>
      </c>
      <c r="B1757" t="str">
        <f>T("   Argiles (à l'excl. des argiles réfractaires ou expansées ainsi que du kaolin et des autres argiles kaoliniques)")</f>
        <v xml:space="preserve">   Argiles (à l'excl. des argiles réfractaires ou expansées ainsi que du kaolin et des autres argiles kaoliniques)</v>
      </c>
      <c r="C1757">
        <v>2300000</v>
      </c>
      <c r="D1757">
        <v>6240</v>
      </c>
    </row>
    <row r="1758" spans="1:4" x14ac:dyDescent="0.25">
      <c r="A1758" t="str">
        <f>T("   250900")</f>
        <v xml:space="preserve">   250900</v>
      </c>
      <c r="B1758" t="str">
        <f>T("   Craie")</f>
        <v xml:space="preserve">   Craie</v>
      </c>
      <c r="C1758">
        <v>1000000</v>
      </c>
      <c r="D1758">
        <v>5820</v>
      </c>
    </row>
    <row r="1759" spans="1:4" x14ac:dyDescent="0.25">
      <c r="A1759" t="str">
        <f>T("   251512")</f>
        <v xml:space="preserve">   251512</v>
      </c>
      <c r="B1759" t="str">
        <f>T("   MARBRES ET TRAVERTINS, SIMPL. DÉBITÉS, PAR SCIAGE OU AUTREMENT, EN BLOCS OU EN PLAQUES DE FORME CARRÉE OU RECTANGULAIRE")</f>
        <v xml:space="preserve">   MARBRES ET TRAVERTINS, SIMPL. DÉBITÉS, PAR SCIAGE OU AUTREMENT, EN BLOCS OU EN PLAQUES DE FORME CARRÉE OU RECTANGULAIRE</v>
      </c>
      <c r="C1759">
        <v>37573278</v>
      </c>
      <c r="D1759">
        <v>29074</v>
      </c>
    </row>
    <row r="1760" spans="1:4" x14ac:dyDescent="0.25">
      <c r="A1760" t="str">
        <f>T("   251611")</f>
        <v xml:space="preserve">   251611</v>
      </c>
      <c r="B1760" t="str">
        <f>T("   Granit, brut ou dégrossi (à l'excl. des pierres présentant le caractère de pavés, de bordures de trottoirs ou de dalles de pavage)")</f>
        <v xml:space="preserve">   Granit, brut ou dégrossi (à l'excl. des pierres présentant le caractère de pavés, de bordures de trottoirs ou de dalles de pavage)</v>
      </c>
      <c r="C1760">
        <v>400000</v>
      </c>
      <c r="D1760">
        <v>8000</v>
      </c>
    </row>
    <row r="1761" spans="1:4" x14ac:dyDescent="0.25">
      <c r="A1761" t="str">
        <f>T("   251612")</f>
        <v xml:space="preserve">   251612</v>
      </c>
      <c r="B1761" t="str">
        <f>T("   GRANIT, SIMPL. DÉBITÉ, PAR SCIAGE OU AUTREMENT, EN BLOCS OU EN PLAQUES DE FORME CARRÉE OU RECTANGULAIRE (À L'EXCL. DES PIERRES PRÉSENTANT LE CARACTÈRE DE PAVÉS, DE BORDURES DE TROTTOIRS OU DE DALLES DE PAVAGE)")</f>
        <v xml:space="preserve">   GRANIT, SIMPL. DÉBITÉ, PAR SCIAGE OU AUTREMENT, EN BLOCS OU EN PLAQUES DE FORME CARRÉE OU RECTANGULAIRE (À L'EXCL. DES PIERRES PRÉSENTANT LE CARACTÈRE DE PAVÉS, DE BORDURES DE TROTTOIRS OU DE DALLES DE PAVAGE)</v>
      </c>
      <c r="C1761">
        <v>6499612</v>
      </c>
      <c r="D1761">
        <v>106680</v>
      </c>
    </row>
    <row r="1762" spans="1:4" x14ac:dyDescent="0.25">
      <c r="A1762" t="str">
        <f>T("   252010")</f>
        <v xml:space="preserve">   252010</v>
      </c>
      <c r="B1762" t="str">
        <f>T("   Gypse; anhydrite")</f>
        <v xml:space="preserve">   Gypse; anhydrite</v>
      </c>
      <c r="C1762">
        <v>548856</v>
      </c>
      <c r="D1762">
        <v>802</v>
      </c>
    </row>
    <row r="1763" spans="1:4" x14ac:dyDescent="0.25">
      <c r="A1763" t="str">
        <f>T("   252020")</f>
        <v xml:space="preserve">   252020</v>
      </c>
      <c r="B1763" t="str">
        <f>T("   Plâtres, même colorés ou additionnés de faibles quantités d'accélérateurs ou de retardateurs")</f>
        <v xml:space="preserve">   Plâtres, même colorés ou additionnés de faibles quantités d'accélérateurs ou de retardateurs</v>
      </c>
      <c r="C1763">
        <v>13774028</v>
      </c>
      <c r="D1763">
        <v>136998</v>
      </c>
    </row>
    <row r="1764" spans="1:4" x14ac:dyDescent="0.25">
      <c r="A1764" t="str">
        <f>T("   252210")</f>
        <v xml:space="preserve">   252210</v>
      </c>
      <c r="B1764" t="str">
        <f>T("   Chaux vive")</f>
        <v xml:space="preserve">   Chaux vive</v>
      </c>
      <c r="C1764">
        <v>34420717</v>
      </c>
      <c r="D1764">
        <v>210400</v>
      </c>
    </row>
    <row r="1765" spans="1:4" x14ac:dyDescent="0.25">
      <c r="A1765" t="str">
        <f>T("   252310")</f>
        <v xml:space="preserve">   252310</v>
      </c>
      <c r="B1765" t="str">
        <f>T("   Ciments non pulvérisés dits 'clinkers'")</f>
        <v xml:space="preserve">   Ciments non pulvérisés dits 'clinkers'</v>
      </c>
      <c r="C1765">
        <v>1173000000</v>
      </c>
      <c r="D1765">
        <v>39100000</v>
      </c>
    </row>
    <row r="1766" spans="1:4" x14ac:dyDescent="0.25">
      <c r="A1766" t="str">
        <f>T("   252329")</f>
        <v xml:space="preserve">   252329</v>
      </c>
      <c r="B1766" t="str">
        <f>T("   Ciment Portland normal ou modéré (à l'excl. des ciments Portland blancs, même colorés artificiellement)")</f>
        <v xml:space="preserve">   Ciment Portland normal ou modéré (à l'excl. des ciments Portland blancs, même colorés artificiellement)</v>
      </c>
      <c r="C1766">
        <v>919355205</v>
      </c>
      <c r="D1766">
        <v>24119042</v>
      </c>
    </row>
    <row r="1767" spans="1:4" x14ac:dyDescent="0.25">
      <c r="A1767" t="str">
        <f>T("   252390")</f>
        <v xml:space="preserve">   252390</v>
      </c>
      <c r="B1767" t="str">
        <f>T("   Ciments, même colorés (à l'excl. des ciments Portland et des ciments alumineux)")</f>
        <v xml:space="preserve">   Ciments, même colorés (à l'excl. des ciments Portland et des ciments alumineux)</v>
      </c>
      <c r="C1767">
        <v>248500000</v>
      </c>
      <c r="D1767">
        <v>6502500</v>
      </c>
    </row>
    <row r="1768" spans="1:4" x14ac:dyDescent="0.25">
      <c r="A1768" t="str">
        <f>T("   270799")</f>
        <v xml:space="preserve">   270799</v>
      </c>
      <c r="B1768" t="s">
        <v>64</v>
      </c>
      <c r="C1768">
        <v>100000</v>
      </c>
      <c r="D1768">
        <v>9650</v>
      </c>
    </row>
    <row r="1769" spans="1:4" x14ac:dyDescent="0.25">
      <c r="A1769" t="str">
        <f>T("   271000")</f>
        <v xml:space="preserve">   271000</v>
      </c>
      <c r="B1769" t="str">
        <f>T("   HUILES DE PETROLE OU DE MINERAUX BITUMINEUX (AUTRES QUE LES HUILES BRUTES); PRÉPARATIONS N.D.A. CONTENANT EN POIDS &gt;= 70% D'HUILES DE PETROLE OU DE MINERAUX BITUMINEUX ET DONT CES HUILES CONSTITUENT L'ELEMENT DE BASE")</f>
        <v xml:space="preserve">   HUILES DE PETROLE OU DE MINERAUX BITUMINEUX (AUTRES QUE LES HUILES BRUTES); PRÉPARATIONS N.D.A. CONTENANT EN POIDS &gt;= 70% D'HUILES DE PETROLE OU DE MINERAUX BITUMINEUX ET DONT CES HUILES CONSTITUENT L'ELEMENT DE BASE</v>
      </c>
      <c r="C1769">
        <v>385852</v>
      </c>
      <c r="D1769">
        <v>3920</v>
      </c>
    </row>
    <row r="1770" spans="1:4" x14ac:dyDescent="0.25">
      <c r="A1770" t="str">
        <f>T("   271019")</f>
        <v xml:space="preserve">   271019</v>
      </c>
      <c r="B1770" t="str">
        <f>T("   Huiles moyennes et préparations, de pétrole ou de minéraux bitumineux, n.d.a.")</f>
        <v xml:space="preserve">   Huiles moyennes et préparations, de pétrole ou de minéraux bitumineux, n.d.a.</v>
      </c>
      <c r="C1770">
        <v>56059287</v>
      </c>
      <c r="D1770">
        <v>117377</v>
      </c>
    </row>
    <row r="1771" spans="1:4" x14ac:dyDescent="0.25">
      <c r="A1771" t="str">
        <f>T("   271119")</f>
        <v xml:space="preserve">   271119</v>
      </c>
      <c r="B1771" t="str">
        <f>T("   Hydrocarbures gazeux, liquéfiés, n.d.a. (à l'excl. du gaz naturel, du propane, des butanes, de l'éthylène, du propylène, du butylène et du butadiène)")</f>
        <v xml:space="preserve">   Hydrocarbures gazeux, liquéfiés, n.d.a. (à l'excl. du gaz naturel, du propane, des butanes, de l'éthylène, du propylène, du butylène et du butadiène)</v>
      </c>
      <c r="C1771">
        <v>2000000</v>
      </c>
      <c r="D1771">
        <v>4500</v>
      </c>
    </row>
    <row r="1772" spans="1:4" x14ac:dyDescent="0.25">
      <c r="A1772" t="str">
        <f>T("   271490")</f>
        <v xml:space="preserve">   271490</v>
      </c>
      <c r="B1772" t="str">
        <f>T("   Bitumes et asphaltes, naturels; asphaltites et roches asphaltiques")</f>
        <v xml:space="preserve">   Bitumes et asphaltes, naturels; asphaltites et roches asphaltiques</v>
      </c>
      <c r="C1772">
        <v>2544461</v>
      </c>
      <c r="D1772">
        <v>61550</v>
      </c>
    </row>
    <row r="1773" spans="1:4" x14ac:dyDescent="0.25">
      <c r="A1773" t="str">
        <f>T("   280429")</f>
        <v xml:space="preserve">   280429</v>
      </c>
      <c r="B1773" t="str">
        <f>T("   Gaz rares (à l'excl. de l'argon)")</f>
        <v xml:space="preserve">   Gaz rares (à l'excl. de l'argon)</v>
      </c>
      <c r="C1773">
        <v>1838598</v>
      </c>
      <c r="D1773">
        <v>366</v>
      </c>
    </row>
    <row r="1774" spans="1:4" x14ac:dyDescent="0.25">
      <c r="A1774" t="str">
        <f>T("   280430")</f>
        <v xml:space="preserve">   280430</v>
      </c>
      <c r="B1774" t="str">
        <f>T("   Azote")</f>
        <v xml:space="preserve">   Azote</v>
      </c>
      <c r="C1774">
        <v>522000</v>
      </c>
      <c r="D1774">
        <v>175</v>
      </c>
    </row>
    <row r="1775" spans="1:4" x14ac:dyDescent="0.25">
      <c r="A1775" t="str">
        <f>T("   280610")</f>
        <v xml:space="preserve">   280610</v>
      </c>
      <c r="B1775" t="str">
        <f>T("   Chlorure d'hydrogène [acide chlorhydrique]")</f>
        <v xml:space="preserve">   Chlorure d'hydrogène [acide chlorhydrique]</v>
      </c>
      <c r="C1775">
        <v>776000</v>
      </c>
      <c r="D1775">
        <v>2940</v>
      </c>
    </row>
    <row r="1776" spans="1:4" x14ac:dyDescent="0.25">
      <c r="A1776" t="str">
        <f>T("   280700")</f>
        <v xml:space="preserve">   280700</v>
      </c>
      <c r="B1776" t="str">
        <f>T("   Acide sulfurique; oléum")</f>
        <v xml:space="preserve">   Acide sulfurique; oléum</v>
      </c>
      <c r="C1776">
        <v>34164346</v>
      </c>
      <c r="D1776">
        <v>176244</v>
      </c>
    </row>
    <row r="1777" spans="1:4" x14ac:dyDescent="0.25">
      <c r="A1777" t="str">
        <f>T("   281511")</f>
        <v xml:space="preserve">   281511</v>
      </c>
      <c r="B1777" t="str">
        <f>T("   Hydroxyde de sodium [soude caustique], solide")</f>
        <v xml:space="preserve">   Hydroxyde de sodium [soude caustique], solide</v>
      </c>
      <c r="C1777">
        <v>537641678</v>
      </c>
      <c r="D1777">
        <v>2948995</v>
      </c>
    </row>
    <row r="1778" spans="1:4" x14ac:dyDescent="0.25">
      <c r="A1778" t="str">
        <f>T("   281512")</f>
        <v xml:space="preserve">   281512</v>
      </c>
      <c r="B1778" t="str">
        <f>T("   Hydroxyde de sodium en solution aqueuse [lessive de soude caustique]")</f>
        <v xml:space="preserve">   Hydroxyde de sodium en solution aqueuse [lessive de soude caustique]</v>
      </c>
      <c r="C1778">
        <v>7204000</v>
      </c>
      <c r="D1778">
        <v>53580</v>
      </c>
    </row>
    <row r="1779" spans="1:4" x14ac:dyDescent="0.25">
      <c r="A1779" t="str">
        <f>T("   282810")</f>
        <v xml:space="preserve">   282810</v>
      </c>
      <c r="B1779" t="str">
        <f>T("   Hypochlorites de calcium, y.c. l'hypochlorite de calcium du commerce")</f>
        <v xml:space="preserve">   Hypochlorites de calcium, y.c. l'hypochlorite de calcium du commerce</v>
      </c>
      <c r="C1779">
        <v>11380780</v>
      </c>
      <c r="D1779">
        <v>14314</v>
      </c>
    </row>
    <row r="1780" spans="1:4" x14ac:dyDescent="0.25">
      <c r="A1780" t="str">
        <f>T("   282890")</f>
        <v xml:space="preserve">   282890</v>
      </c>
      <c r="B1780" t="str">
        <f>T("   Hypochlorites, chlorites et hypobromites (à l'excl. des hypochlorites de calcium)")</f>
        <v xml:space="preserve">   Hypochlorites, chlorites et hypobromites (à l'excl. des hypochlorites de calcium)</v>
      </c>
      <c r="C1780">
        <v>34323000</v>
      </c>
      <c r="D1780">
        <v>179130</v>
      </c>
    </row>
    <row r="1781" spans="1:4" x14ac:dyDescent="0.25">
      <c r="A1781" t="str">
        <f>T("   283522")</f>
        <v xml:space="preserve">   283522</v>
      </c>
      <c r="B1781" t="str">
        <f>T("   Phosphates de mono- ou de disodium")</f>
        <v xml:space="preserve">   Phosphates de mono- ou de disodium</v>
      </c>
      <c r="C1781">
        <v>5643599</v>
      </c>
      <c r="D1781">
        <v>22010</v>
      </c>
    </row>
    <row r="1782" spans="1:4" x14ac:dyDescent="0.25">
      <c r="A1782" t="str">
        <f>T("   284910")</f>
        <v xml:space="preserve">   284910</v>
      </c>
      <c r="B1782" t="str">
        <f>T("   Carbure de calcium, de constitution chimique définie ou non")</f>
        <v xml:space="preserve">   Carbure de calcium, de constitution chimique définie ou non</v>
      </c>
      <c r="C1782">
        <v>17232382</v>
      </c>
      <c r="D1782">
        <v>94185</v>
      </c>
    </row>
    <row r="1783" spans="1:4" x14ac:dyDescent="0.25">
      <c r="A1783" t="str">
        <f>T("   284990")</f>
        <v xml:space="preserve">   284990</v>
      </c>
      <c r="B1783" t="str">
        <f>T("   Carbures, de constitution chimique définie ou non (à l'excl. des carbures de calcium et de silicium)")</f>
        <v xml:space="preserve">   Carbures, de constitution chimique définie ou non (à l'excl. des carbures de calcium et de silicium)</v>
      </c>
      <c r="C1783">
        <v>80255550</v>
      </c>
      <c r="D1783">
        <v>486065</v>
      </c>
    </row>
    <row r="1784" spans="1:4" x14ac:dyDescent="0.25">
      <c r="A1784" t="str">
        <f>T("   285100")</f>
        <v xml:space="preserve">   285100</v>
      </c>
      <c r="B1784" t="str">
        <f>T("   Composés inorganiques, y.c. les eaux distillées, de conductibilité ou de même degré de pureté, n.d.a.; air liquide, y.c. l'air liquide dont les gaz ont été éliminés; air comprimé; amalgames (autres que de métaux précieux)")</f>
        <v xml:space="preserve">   Composés inorganiques, y.c. les eaux distillées, de conductibilité ou de même degré de pureté, n.d.a.; air liquide, y.c. l'air liquide dont les gaz ont été éliminés; air comprimé; amalgames (autres que de métaux précieux)</v>
      </c>
      <c r="C1784">
        <v>1235000</v>
      </c>
      <c r="D1784">
        <v>7000</v>
      </c>
    </row>
    <row r="1785" spans="1:4" x14ac:dyDescent="0.25">
      <c r="A1785" t="str">
        <f>T("   290110")</f>
        <v xml:space="preserve">   290110</v>
      </c>
      <c r="B1785" t="str">
        <f>T("   Hydrocarbures acycliques, saturés")</f>
        <v xml:space="preserve">   Hydrocarbures acycliques, saturés</v>
      </c>
      <c r="C1785">
        <v>79645000</v>
      </c>
      <c r="D1785">
        <v>73945</v>
      </c>
    </row>
    <row r="1786" spans="1:4" x14ac:dyDescent="0.25">
      <c r="A1786" t="str">
        <f>T("   290241")</f>
        <v xml:space="preserve">   290241</v>
      </c>
      <c r="B1786" t="str">
        <f>T("   o-Xylène")</f>
        <v xml:space="preserve">   o-Xylène</v>
      </c>
      <c r="C1786">
        <v>384000</v>
      </c>
      <c r="D1786">
        <v>1280</v>
      </c>
    </row>
    <row r="1787" spans="1:4" x14ac:dyDescent="0.25">
      <c r="A1787" t="str">
        <f>T("   290514")</f>
        <v xml:space="preserve">   290514</v>
      </c>
      <c r="B1787" t="str">
        <f>T("   Butanols (à l'excl. du butane-1-ol [alcool n-butylique])")</f>
        <v xml:space="preserve">   Butanols (à l'excl. du butane-1-ol [alcool n-butylique])</v>
      </c>
      <c r="C1787">
        <v>5500000</v>
      </c>
      <c r="D1787">
        <v>43680</v>
      </c>
    </row>
    <row r="1788" spans="1:4" x14ac:dyDescent="0.25">
      <c r="A1788" t="str">
        <f>T("   291411")</f>
        <v xml:space="preserve">   291411</v>
      </c>
      <c r="B1788" t="str">
        <f>T("   Acétone")</f>
        <v xml:space="preserve">   Acétone</v>
      </c>
      <c r="C1788">
        <v>2500000</v>
      </c>
      <c r="D1788">
        <v>12720</v>
      </c>
    </row>
    <row r="1789" spans="1:4" x14ac:dyDescent="0.25">
      <c r="A1789" t="str">
        <f>T("   291590")</f>
        <v xml:space="preserve">   291590</v>
      </c>
      <c r="B1789" t="s">
        <v>68</v>
      </c>
      <c r="C1789">
        <v>6431688</v>
      </c>
      <c r="D1789">
        <v>2600</v>
      </c>
    </row>
    <row r="1790" spans="1:4" x14ac:dyDescent="0.25">
      <c r="A1790" t="str">
        <f>T("   291639")</f>
        <v xml:space="preserve">   291639</v>
      </c>
      <c r="B1790" t="s">
        <v>69</v>
      </c>
      <c r="C1790">
        <v>98869571</v>
      </c>
      <c r="D1790">
        <v>20515</v>
      </c>
    </row>
    <row r="1791" spans="1:4" x14ac:dyDescent="0.25">
      <c r="A1791" t="str">
        <f>T("   291739")</f>
        <v xml:space="preserve">   291739</v>
      </c>
      <c r="B1791" t="s">
        <v>70</v>
      </c>
      <c r="C1791">
        <v>155159</v>
      </c>
      <c r="D1791">
        <v>200</v>
      </c>
    </row>
    <row r="1792" spans="1:4" x14ac:dyDescent="0.25">
      <c r="A1792" t="str">
        <f>T("   292320")</f>
        <v xml:space="preserve">   292320</v>
      </c>
      <c r="B1792" t="str">
        <f>T("   Lécithines et autres phosphoaminolipides, de constitution chimique définie ou non")</f>
        <v xml:space="preserve">   Lécithines et autres phosphoaminolipides, de constitution chimique définie ou non</v>
      </c>
      <c r="C1792">
        <v>638249</v>
      </c>
      <c r="D1792">
        <v>600</v>
      </c>
    </row>
    <row r="1793" spans="1:4" x14ac:dyDescent="0.25">
      <c r="A1793" t="str">
        <f>T("   292800")</f>
        <v xml:space="preserve">   292800</v>
      </c>
      <c r="B1793" t="str">
        <f>T("   Dérivés organiques de l'hydrazine ou de l'hydroxylamine")</f>
        <v xml:space="preserve">   Dérivés organiques de l'hydrazine ou de l'hydroxylamine</v>
      </c>
      <c r="C1793">
        <v>677606</v>
      </c>
      <c r="D1793">
        <v>380</v>
      </c>
    </row>
    <row r="1794" spans="1:4" x14ac:dyDescent="0.25">
      <c r="A1794" t="str">
        <f>T("   300310")</f>
        <v xml:space="preserve">   300310</v>
      </c>
      <c r="B1794" t="str">
        <f>T("   Médicaments contenant des pénicillines ou des dérivés de ces produits, à structure d'acide pénicillanique, ou des streptomycines ou des dérivés de ces produits, non présentés sous forme de doses, ni conditionnés pour la vente au détail")</f>
        <v xml:space="preserve">   Médicaments contenant des pénicillines ou des dérivés de ces produits, à structure d'acide pénicillanique, ou des streptomycines ou des dérivés de ces produits, non présentés sous forme de doses, ni conditionnés pour la vente au détail</v>
      </c>
      <c r="C1794">
        <v>393450</v>
      </c>
      <c r="D1794">
        <v>200</v>
      </c>
    </row>
    <row r="1795" spans="1:4" x14ac:dyDescent="0.25">
      <c r="A1795" t="str">
        <f>T("   300320")</f>
        <v xml:space="preserve">   300320</v>
      </c>
      <c r="B1795" t="s">
        <v>74</v>
      </c>
      <c r="C1795">
        <v>4355000</v>
      </c>
      <c r="D1795">
        <v>19380</v>
      </c>
    </row>
    <row r="1796" spans="1:4" x14ac:dyDescent="0.25">
      <c r="A1796" t="str">
        <f>T("   300390")</f>
        <v xml:space="preserve">   300390</v>
      </c>
      <c r="B1796" t="s">
        <v>75</v>
      </c>
      <c r="C1796">
        <v>35396258</v>
      </c>
      <c r="D1796">
        <v>24380</v>
      </c>
    </row>
    <row r="1797" spans="1:4" x14ac:dyDescent="0.25">
      <c r="A1797" t="str">
        <f>T("   300420")</f>
        <v xml:space="preserve">   300420</v>
      </c>
      <c r="B1797" t="s">
        <v>77</v>
      </c>
      <c r="C1797">
        <v>139703990</v>
      </c>
      <c r="D1797">
        <v>112284.19</v>
      </c>
    </row>
    <row r="1798" spans="1:4" x14ac:dyDescent="0.25">
      <c r="A1798" t="str">
        <f>T("   300439")</f>
        <v xml:space="preserve">   300439</v>
      </c>
      <c r="B1798" t="s">
        <v>78</v>
      </c>
      <c r="C1798">
        <v>19015391</v>
      </c>
      <c r="D1798">
        <v>185</v>
      </c>
    </row>
    <row r="1799" spans="1:4" x14ac:dyDescent="0.25">
      <c r="A1799" t="str">
        <f>T("   300490")</f>
        <v xml:space="preserve">   300490</v>
      </c>
      <c r="B1799" t="s">
        <v>80</v>
      </c>
      <c r="C1799">
        <v>729109385</v>
      </c>
      <c r="D1799">
        <v>322726.62</v>
      </c>
    </row>
    <row r="1800" spans="1:4" x14ac:dyDescent="0.25">
      <c r="A1800" t="str">
        <f>T("   300510")</f>
        <v xml:space="preserve">   300510</v>
      </c>
      <c r="B1800" t="str">
        <f>T("   Pansements adhésifs et autres articles ayant une couche adhésive, imprégnés ou recouverts de substances pharmaceutiques ou conditionnés pour la vente au détail à des fins médicales, chirurgicales, dentaires ou vétérinaires")</f>
        <v xml:space="preserve">   Pansements adhésifs et autres articles ayant une couche adhésive, imprégnés ou recouverts de substances pharmaceutiques ou conditionnés pour la vente au détail à des fins médicales, chirurgicales, dentaires ou vétérinaires</v>
      </c>
      <c r="C1800">
        <v>13901</v>
      </c>
      <c r="D1800">
        <v>7</v>
      </c>
    </row>
    <row r="1801" spans="1:4" x14ac:dyDescent="0.25">
      <c r="A1801" t="str">
        <f>T("   300590")</f>
        <v xml:space="preserve">   300590</v>
      </c>
      <c r="B1801" t="s">
        <v>81</v>
      </c>
      <c r="C1801">
        <v>130551459</v>
      </c>
      <c r="D1801">
        <v>228358</v>
      </c>
    </row>
    <row r="1802" spans="1:4" x14ac:dyDescent="0.25">
      <c r="A1802" t="str">
        <f>T("   310210")</f>
        <v xml:space="preserve">   310210</v>
      </c>
      <c r="B1802" t="str">
        <f>T("   Urée, même en solution aqueuse (à l'excl. des produits présentés soit en tablettes ou formes simil., soit en emballages d'un poids brut &lt;= 10 kg)")</f>
        <v xml:space="preserve">   Urée, même en solution aqueuse (à l'excl. des produits présentés soit en tablettes ou formes simil., soit en emballages d'un poids brut &lt;= 10 kg)</v>
      </c>
      <c r="C1802">
        <v>700612353</v>
      </c>
      <c r="D1802">
        <v>2574880</v>
      </c>
    </row>
    <row r="1803" spans="1:4" x14ac:dyDescent="0.25">
      <c r="A1803" t="str">
        <f>T("   310590")</f>
        <v xml:space="preserve">   310590</v>
      </c>
      <c r="B1803" t="s">
        <v>85</v>
      </c>
      <c r="C1803">
        <v>377999995</v>
      </c>
      <c r="D1803">
        <v>1217000</v>
      </c>
    </row>
    <row r="1804" spans="1:4" x14ac:dyDescent="0.25">
      <c r="A1804" t="str">
        <f>T("   320417")</f>
        <v xml:space="preserve">   320417</v>
      </c>
      <c r="B1804" t="s">
        <v>90</v>
      </c>
      <c r="C1804">
        <v>2293892</v>
      </c>
      <c r="D1804">
        <v>550</v>
      </c>
    </row>
    <row r="1805" spans="1:4" x14ac:dyDescent="0.25">
      <c r="A1805" t="str">
        <f>T("   320419")</f>
        <v xml:space="preserve">   320419</v>
      </c>
      <c r="B1805" t="s">
        <v>91</v>
      </c>
      <c r="C1805">
        <v>2500000</v>
      </c>
      <c r="D1805">
        <v>12000</v>
      </c>
    </row>
    <row r="1806" spans="1:4" x14ac:dyDescent="0.25">
      <c r="A1806" t="str">
        <f>T("   320500")</f>
        <v xml:space="preserve">   320500</v>
      </c>
      <c r="B1806" t="s">
        <v>92</v>
      </c>
      <c r="C1806">
        <v>345454</v>
      </c>
      <c r="D1806">
        <v>125</v>
      </c>
    </row>
    <row r="1807" spans="1:4" x14ac:dyDescent="0.25">
      <c r="A1807" t="str">
        <f>T("   320611")</f>
        <v xml:space="preserve">   320611</v>
      </c>
      <c r="B1807" t="s">
        <v>93</v>
      </c>
      <c r="C1807">
        <v>3000</v>
      </c>
      <c r="D1807">
        <v>40</v>
      </c>
    </row>
    <row r="1808" spans="1:4" x14ac:dyDescent="0.25">
      <c r="A1808" t="str">
        <f>T("   320820")</f>
        <v xml:space="preserve">   320820</v>
      </c>
      <c r="B1808" t="s">
        <v>96</v>
      </c>
      <c r="C1808">
        <v>26081505</v>
      </c>
      <c r="D1808">
        <v>76994</v>
      </c>
    </row>
    <row r="1809" spans="1:4" x14ac:dyDescent="0.25">
      <c r="A1809" t="str">
        <f>T("   320890")</f>
        <v xml:space="preserve">   320890</v>
      </c>
      <c r="B1809" t="s">
        <v>97</v>
      </c>
      <c r="C1809">
        <v>19771156</v>
      </c>
      <c r="D1809">
        <v>30620</v>
      </c>
    </row>
    <row r="1810" spans="1:4" x14ac:dyDescent="0.25">
      <c r="A1810" t="str">
        <f>T("   320910")</f>
        <v xml:space="preserve">   320910</v>
      </c>
      <c r="B1810" t="str">
        <f>T("   Peintures et vernis à base de polymères acryliques ou vinyliques, dispersés ou dissous dans un milieu aqueux")</f>
        <v xml:space="preserve">   Peintures et vernis à base de polymères acryliques ou vinyliques, dispersés ou dissous dans un milieu aqueux</v>
      </c>
      <c r="C1810">
        <v>29656120</v>
      </c>
      <c r="D1810">
        <v>129543</v>
      </c>
    </row>
    <row r="1811" spans="1:4" x14ac:dyDescent="0.25">
      <c r="A1811" t="str">
        <f>T("   320990")</f>
        <v xml:space="preserve">   320990</v>
      </c>
      <c r="B1811" t="str">
        <f>T("   Peintures et vernis à base de polymères synthétiques ou de polymères naturels modifiés, dispersés ou dissous dans un milieu aqueux (à l'excl. des produits à base de polymères acryliques ou vinyliques)")</f>
        <v xml:space="preserve">   Peintures et vernis à base de polymères synthétiques ou de polymères naturels modifiés, dispersés ou dissous dans un milieu aqueux (à l'excl. des produits à base de polymères acryliques ou vinyliques)</v>
      </c>
      <c r="C1811">
        <v>2400136</v>
      </c>
      <c r="D1811">
        <v>7150</v>
      </c>
    </row>
    <row r="1812" spans="1:4" x14ac:dyDescent="0.25">
      <c r="A1812" t="str">
        <f>T("   321000")</f>
        <v xml:space="preserve">   321000</v>
      </c>
      <c r="B1812" t="str">
        <f>T("   Peintures et vernis (à l'excl. des produits à base de polymères synthétiques ou de polymères naturels modifiés); pigments à l'eau préparés des types utilisés pour le finissage des cuirs")</f>
        <v xml:space="preserve">   Peintures et vernis (à l'excl. des produits à base de polymères synthétiques ou de polymères naturels modifiés); pigments à l'eau préparés des types utilisés pour le finissage des cuirs</v>
      </c>
      <c r="C1812">
        <v>762384</v>
      </c>
      <c r="D1812">
        <v>3855</v>
      </c>
    </row>
    <row r="1813" spans="1:4" x14ac:dyDescent="0.25">
      <c r="A1813" t="str">
        <f>T("   321410")</f>
        <v xml:space="preserve">   321410</v>
      </c>
      <c r="B1813" t="str">
        <f>T("   Mastic de vitrier, ciments de résine et autres mastics; enduits utilisés en peinture")</f>
        <v xml:space="preserve">   Mastic de vitrier, ciments de résine et autres mastics; enduits utilisés en peinture</v>
      </c>
      <c r="C1813">
        <v>3100000</v>
      </c>
      <c r="D1813">
        <v>1830</v>
      </c>
    </row>
    <row r="1814" spans="1:4" x14ac:dyDescent="0.25">
      <c r="A1814" t="str">
        <f>T("   321490")</f>
        <v xml:space="preserve">   321490</v>
      </c>
      <c r="B1814" t="str">
        <f>T("   Enduits non réfractaires des types utilisés en maçonnerie")</f>
        <v xml:space="preserve">   Enduits non réfractaires des types utilisés en maçonnerie</v>
      </c>
      <c r="C1814">
        <v>107000000</v>
      </c>
      <c r="D1814">
        <v>585810</v>
      </c>
    </row>
    <row r="1815" spans="1:4" x14ac:dyDescent="0.25">
      <c r="A1815" t="str">
        <f>T("   321519")</f>
        <v xml:space="preserve">   321519</v>
      </c>
      <c r="B1815" t="str">
        <f>T("   Encres d'imprimerie, même concentrées ou sous formes solides (à l'excl. des encres noires)")</f>
        <v xml:space="preserve">   Encres d'imprimerie, même concentrées ou sous formes solides (à l'excl. des encres noires)</v>
      </c>
      <c r="C1815">
        <v>5367922</v>
      </c>
      <c r="D1815">
        <v>2586</v>
      </c>
    </row>
    <row r="1816" spans="1:4" x14ac:dyDescent="0.25">
      <c r="A1816" t="str">
        <f>T("   321590")</f>
        <v xml:space="preserve">   321590</v>
      </c>
      <c r="B1816" t="str">
        <f>T("   Encres à écrire et à dessiner, même concentrées ou sous formes solides")</f>
        <v xml:space="preserve">   Encres à écrire et à dessiner, même concentrées ou sous formes solides</v>
      </c>
      <c r="C1816">
        <v>7122631</v>
      </c>
      <c r="D1816">
        <v>8777</v>
      </c>
    </row>
    <row r="1817" spans="1:4" x14ac:dyDescent="0.25">
      <c r="A1817" t="str">
        <f>T("   330129")</f>
        <v xml:space="preserve">   330129</v>
      </c>
      <c r="B1817" t="str">
        <f>T("   HUILES ESSENTIELLES, DÉTERPÉNÉES OU NON, Y.C. CELLES DITES 'CONCRÈTES' OU 'ABSOLUES' (À L'EXCL. DES HUILES ESSENTIELLES D'AGRUMES OU DE MENTHES)")</f>
        <v xml:space="preserve">   HUILES ESSENTIELLES, DÉTERPÉNÉES OU NON, Y.C. CELLES DITES 'CONCRÈTES' OU 'ABSOLUES' (À L'EXCL. DES HUILES ESSENTIELLES D'AGRUMES OU DE MENTHES)</v>
      </c>
      <c r="C1817">
        <v>847414</v>
      </c>
      <c r="D1817">
        <v>257</v>
      </c>
    </row>
    <row r="1818" spans="1:4" x14ac:dyDescent="0.25">
      <c r="A1818" t="str">
        <f>T("   330210")</f>
        <v xml:space="preserve">   330210</v>
      </c>
      <c r="B1818" t="str">
        <f>T("   Mélanges de substances odoriférantes et mélanges, y.c. les solutions alcooliques, à base d'une ou de plusieurs de ces substances, des types utilisés comme matières de base pour les industries des produits alimentaires et des boissons")</f>
        <v xml:space="preserve">   Mélanges de substances odoriférantes et mélanges, y.c. les solutions alcooliques, à base d'une ou de plusieurs de ces substances, des types utilisés comme matières de base pour les industries des produits alimentaires et des boissons</v>
      </c>
      <c r="C1818">
        <v>113606</v>
      </c>
      <c r="D1818">
        <v>100</v>
      </c>
    </row>
    <row r="1819" spans="1:4" x14ac:dyDescent="0.25">
      <c r="A1819" t="str">
        <f>T("   330290")</f>
        <v xml:space="preserve">   330290</v>
      </c>
      <c r="B1819" t="s">
        <v>100</v>
      </c>
      <c r="C1819">
        <v>13650527</v>
      </c>
      <c r="D1819">
        <v>51055</v>
      </c>
    </row>
    <row r="1820" spans="1:4" x14ac:dyDescent="0.25">
      <c r="A1820" t="str">
        <f>T("   330300")</f>
        <v xml:space="preserve">   330300</v>
      </c>
      <c r="B1820" t="str">
        <f>T("   Parfums et eaux de toilette (à l'excl. des préparations pour l'après-rasage [lotions after-shave] et des désodorisants corporels)")</f>
        <v xml:space="preserve">   Parfums et eaux de toilette (à l'excl. des préparations pour l'après-rasage [lotions after-shave] et des désodorisants corporels)</v>
      </c>
      <c r="C1820">
        <v>33488395</v>
      </c>
      <c r="D1820">
        <v>140290</v>
      </c>
    </row>
    <row r="1821" spans="1:4" x14ac:dyDescent="0.25">
      <c r="A1821" t="str">
        <f>T("   330410")</f>
        <v xml:space="preserve">   330410</v>
      </c>
      <c r="B1821" t="str">
        <f>T("   Produits de maquillage pour les lèvres")</f>
        <v xml:space="preserve">   Produits de maquillage pour les lèvres</v>
      </c>
      <c r="C1821">
        <v>2133259</v>
      </c>
      <c r="D1821">
        <v>5057</v>
      </c>
    </row>
    <row r="1822" spans="1:4" x14ac:dyDescent="0.25">
      <c r="A1822" t="str">
        <f>T("   330430")</f>
        <v xml:space="preserve">   330430</v>
      </c>
      <c r="B1822" t="str">
        <f>T("   Préparations pour manucures ou pédicures")</f>
        <v xml:space="preserve">   Préparations pour manucures ou pédicures</v>
      </c>
      <c r="C1822">
        <v>99000000</v>
      </c>
      <c r="D1822">
        <v>381630</v>
      </c>
    </row>
    <row r="1823" spans="1:4" x14ac:dyDescent="0.25">
      <c r="A1823" t="str">
        <f>T("   330491")</f>
        <v xml:space="preserve">   330491</v>
      </c>
      <c r="B1823" t="str">
        <f>T("   Poudres pour le maquillage ou l'entretien ou les soins de la peau, y.c. les poudres pour bébés et les poudres compactes (à l'excl. des médicaments)")</f>
        <v xml:space="preserve">   Poudres pour le maquillage ou l'entretien ou les soins de la peau, y.c. les poudres pour bébés et les poudres compactes (à l'excl. des médicaments)</v>
      </c>
      <c r="C1823">
        <v>737280</v>
      </c>
      <c r="D1823">
        <v>215</v>
      </c>
    </row>
    <row r="1824" spans="1:4" x14ac:dyDescent="0.25">
      <c r="A1824" t="str">
        <f>T("   330499")</f>
        <v xml:space="preserve">   330499</v>
      </c>
      <c r="B1824" t="s">
        <v>101</v>
      </c>
      <c r="C1824">
        <v>880941803</v>
      </c>
      <c r="D1824">
        <v>3849229</v>
      </c>
    </row>
    <row r="1825" spans="1:4" x14ac:dyDescent="0.25">
      <c r="A1825" t="str">
        <f>T("   330510")</f>
        <v xml:space="preserve">   330510</v>
      </c>
      <c r="B1825" t="str">
        <f>T("   Shampooings")</f>
        <v xml:space="preserve">   Shampooings</v>
      </c>
      <c r="C1825">
        <v>11585397</v>
      </c>
      <c r="D1825">
        <v>40085</v>
      </c>
    </row>
    <row r="1826" spans="1:4" x14ac:dyDescent="0.25">
      <c r="A1826" t="str">
        <f>T("   330590")</f>
        <v xml:space="preserve">   330590</v>
      </c>
      <c r="B1826" t="str">
        <f>T("   PRÉPARATIONS CAPILLAIRES (À L'EXCL. DES SHAMPOOINGS, DES LAQUES POUR CHEVEUX ET DES PRÉPARATIONS POUR L'ONDULATION OU LE DÉFRISAGE PERMANENTS)")</f>
        <v xml:space="preserve">   PRÉPARATIONS CAPILLAIRES (À L'EXCL. DES SHAMPOOINGS, DES LAQUES POUR CHEVEUX ET DES PRÉPARATIONS POUR L'ONDULATION OU LE DÉFRISAGE PERMANENTS)</v>
      </c>
      <c r="C1826">
        <v>3000000</v>
      </c>
      <c r="D1826">
        <v>7280</v>
      </c>
    </row>
    <row r="1827" spans="1:4" x14ac:dyDescent="0.25">
      <c r="A1827" t="str">
        <f>T("   330610")</f>
        <v xml:space="preserve">   330610</v>
      </c>
      <c r="B1827" t="str">
        <f>T("   Dentifrices, préparés, même des types utilisés par les dentistes")</f>
        <v xml:space="preserve">   Dentifrices, préparés, même des types utilisés par les dentistes</v>
      </c>
      <c r="C1827">
        <v>216177869</v>
      </c>
      <c r="D1827">
        <v>1282827</v>
      </c>
    </row>
    <row r="1828" spans="1:4" x14ac:dyDescent="0.25">
      <c r="A1828" t="str">
        <f>T("   330720")</f>
        <v xml:space="preserve">   330720</v>
      </c>
      <c r="B1828" t="str">
        <f>T("   Désodorisants corporels et antisudoraux, préparés")</f>
        <v xml:space="preserve">   Désodorisants corporels et antisudoraux, préparés</v>
      </c>
      <c r="C1828">
        <v>11052196</v>
      </c>
      <c r="D1828">
        <v>47566</v>
      </c>
    </row>
    <row r="1829" spans="1:4" x14ac:dyDescent="0.25">
      <c r="A1829" t="str">
        <f>T("   330730")</f>
        <v xml:space="preserve">   330730</v>
      </c>
      <c r="B1829" t="str">
        <f>T("   Sels parfumés et autres préparations pour bains")</f>
        <v xml:space="preserve">   Sels parfumés et autres préparations pour bains</v>
      </c>
      <c r="C1829">
        <v>4985952</v>
      </c>
      <c r="D1829">
        <v>1957</v>
      </c>
    </row>
    <row r="1830" spans="1:4" x14ac:dyDescent="0.25">
      <c r="A1830" t="str">
        <f>T("   330749")</f>
        <v xml:space="preserve">   330749</v>
      </c>
      <c r="B1830" t="str">
        <f>T("   Préparations pour parfumer ou pour désodoriser les locaux, y.c. les préparations odoriférantes pour cérémonies religieuses (à l'excl. de l'agarbatti et des autres préparations odoriférantes agissant par combustion)")</f>
        <v xml:space="preserve">   Préparations pour parfumer ou pour désodoriser les locaux, y.c. les préparations odoriférantes pour cérémonies religieuses (à l'excl. de l'agarbatti et des autres préparations odoriférantes agissant par combustion)</v>
      </c>
      <c r="C1830">
        <v>2200000</v>
      </c>
      <c r="D1830">
        <v>10400</v>
      </c>
    </row>
    <row r="1831" spans="1:4" x14ac:dyDescent="0.25">
      <c r="A1831" t="str">
        <f>T("   330790")</f>
        <v xml:space="preserve">   330790</v>
      </c>
      <c r="B1831" t="str">
        <f>T("   Dépilatoires, autres produits de parfumerie ou de toilette préparés et autres préparations cosmétiques, n.d.a.")</f>
        <v xml:space="preserve">   Dépilatoires, autres produits de parfumerie ou de toilette préparés et autres préparations cosmétiques, n.d.a.</v>
      </c>
      <c r="C1831">
        <v>3000000</v>
      </c>
      <c r="D1831">
        <v>14470</v>
      </c>
    </row>
    <row r="1832" spans="1:4" x14ac:dyDescent="0.25">
      <c r="A1832" t="str">
        <f>T("   340111")</f>
        <v xml:space="preserve">   340111</v>
      </c>
      <c r="B1832" t="s">
        <v>102</v>
      </c>
      <c r="C1832">
        <v>816627872</v>
      </c>
      <c r="D1832">
        <v>5375471.7699999996</v>
      </c>
    </row>
    <row r="1833" spans="1:4" x14ac:dyDescent="0.25">
      <c r="A1833" t="str">
        <f>T("   340119")</f>
        <v xml:space="preserve">   340119</v>
      </c>
      <c r="B1833" t="s">
        <v>103</v>
      </c>
      <c r="C1833">
        <v>688930329</v>
      </c>
      <c r="D1833">
        <v>4921492</v>
      </c>
    </row>
    <row r="1834" spans="1:4" x14ac:dyDescent="0.25">
      <c r="A1834" t="str">
        <f>T("   340120")</f>
        <v xml:space="preserve">   340120</v>
      </c>
      <c r="B1834" t="str">
        <f>T("   Savons en flocons, en paillettes, en granulés ou en poudres et savons liquides ou pâteux")</f>
        <v xml:space="preserve">   Savons en flocons, en paillettes, en granulés ou en poudres et savons liquides ou pâteux</v>
      </c>
      <c r="C1834">
        <v>50061376</v>
      </c>
      <c r="D1834">
        <v>280412</v>
      </c>
    </row>
    <row r="1835" spans="1:4" x14ac:dyDescent="0.25">
      <c r="A1835" t="str">
        <f>T("   340130")</f>
        <v xml:space="preserve">   340130</v>
      </c>
      <c r="B1835" t="str">
        <f>T("   Produits et préparations organiques tensio-actifs destinés au lavage de la peau, sous forme de liquide ou de crème, conditionnés pour la vente au détail, même contenant  du savon")</f>
        <v xml:space="preserve">   Produits et préparations organiques tensio-actifs destinés au lavage de la peau, sous forme de liquide ou de crème, conditionnés pour la vente au détail, même contenant  du savon</v>
      </c>
      <c r="C1835">
        <v>5817845</v>
      </c>
      <c r="D1835">
        <v>66750</v>
      </c>
    </row>
    <row r="1836" spans="1:4" x14ac:dyDescent="0.25">
      <c r="A1836" t="str">
        <f>T("   340219")</f>
        <v xml:space="preserve">   340219</v>
      </c>
      <c r="B1836" t="str">
        <f>T("   Agents de surface organiques, même conditionnés pour la vente au détail (à l'excl. des savons et des agents de surface anioniques, cationiques ou non ioniques)")</f>
        <v xml:space="preserve">   Agents de surface organiques, même conditionnés pour la vente au détail (à l'excl. des savons et des agents de surface anioniques, cationiques ou non ioniques)</v>
      </c>
      <c r="C1836">
        <v>6723843</v>
      </c>
      <c r="D1836">
        <v>20500</v>
      </c>
    </row>
    <row r="1837" spans="1:4" x14ac:dyDescent="0.25">
      <c r="A1837" t="str">
        <f>T("   340220")</f>
        <v xml:space="preserve">   340220</v>
      </c>
      <c r="B1837" t="s">
        <v>104</v>
      </c>
      <c r="C1837">
        <v>905965853</v>
      </c>
      <c r="D1837">
        <v>7250403</v>
      </c>
    </row>
    <row r="1838" spans="1:4" x14ac:dyDescent="0.25">
      <c r="A1838" t="str">
        <f>T("   340290")</f>
        <v xml:space="preserve">   340290</v>
      </c>
      <c r="B1838" t="s">
        <v>105</v>
      </c>
      <c r="C1838">
        <v>317221829</v>
      </c>
      <c r="D1838">
        <v>2658130</v>
      </c>
    </row>
    <row r="1839" spans="1:4" x14ac:dyDescent="0.25">
      <c r="A1839" t="str">
        <f>T("   340391")</f>
        <v xml:space="preserve">   340391</v>
      </c>
      <c r="B1839" t="str">
        <f>T("   Préparations des types utilisés pour l'ensimage des matières textiles, l'huilage ou le graissage du cuir, des pelleteries ou d'autres matières, ne contenant pas d'huiles de pétrole ou de minéraux bitumineux")</f>
        <v xml:space="preserve">   Préparations des types utilisés pour l'ensimage des matières textiles, l'huilage ou le graissage du cuir, des pelleteries ou d'autres matières, ne contenant pas d'huiles de pétrole ou de minéraux bitumineux</v>
      </c>
      <c r="C1839">
        <v>28332761</v>
      </c>
      <c r="D1839">
        <v>51236</v>
      </c>
    </row>
    <row r="1840" spans="1:4" x14ac:dyDescent="0.25">
      <c r="A1840" t="str">
        <f>T("   340399")</f>
        <v xml:space="preserve">   340399</v>
      </c>
      <c r="B1840" t="s">
        <v>107</v>
      </c>
      <c r="C1840">
        <v>2500000</v>
      </c>
      <c r="D1840">
        <v>13790</v>
      </c>
    </row>
    <row r="1841" spans="1:4" x14ac:dyDescent="0.25">
      <c r="A1841" t="str">
        <f>T("   340540")</f>
        <v xml:space="preserve">   340540</v>
      </c>
      <c r="B1841" t="str">
        <f>T("   Pâtes, poudres et autres préparations à récurer, même sous forme de papier, ouates, feutres, nontissés, matière plastique ou caoutchouc alvéolaires, imprégnés, enduits ou recouverts de ces préparations")</f>
        <v xml:space="preserve">   Pâtes, poudres et autres préparations à récurer, même sous forme de papier, ouates, feutres, nontissés, matière plastique ou caoutchouc alvéolaires, imprégnés, enduits ou recouverts de ces préparations</v>
      </c>
      <c r="C1841">
        <v>4000000</v>
      </c>
      <c r="D1841">
        <v>15220</v>
      </c>
    </row>
    <row r="1842" spans="1:4" x14ac:dyDescent="0.25">
      <c r="A1842" t="str">
        <f>T("   340590")</f>
        <v xml:space="preserve">   340590</v>
      </c>
      <c r="B1842" t="str">
        <f>T("   Brillants pour verre ou métaux, même sous forme de papier, ouates, feutres, nontissés, matière plastique ou caoutchouc alvéolaires, imprégnés, enduits ou recouverts de ces préparations")</f>
        <v xml:space="preserve">   Brillants pour verre ou métaux, même sous forme de papier, ouates, feutres, nontissés, matière plastique ou caoutchouc alvéolaires, imprégnés, enduits ou recouverts de ces préparations</v>
      </c>
      <c r="C1842">
        <v>800271</v>
      </c>
      <c r="D1842">
        <v>7000</v>
      </c>
    </row>
    <row r="1843" spans="1:4" x14ac:dyDescent="0.25">
      <c r="A1843" t="str">
        <f>T("   340600")</f>
        <v xml:space="preserve">   340600</v>
      </c>
      <c r="B1843" t="str">
        <f>T("   Bougies, chandelles, cierges et articles simil.")</f>
        <v xml:space="preserve">   Bougies, chandelles, cierges et articles simil.</v>
      </c>
      <c r="C1843">
        <v>61183401</v>
      </c>
      <c r="D1843">
        <v>345080</v>
      </c>
    </row>
    <row r="1844" spans="1:4" x14ac:dyDescent="0.25">
      <c r="A1844" t="str">
        <f>T("   350610")</f>
        <v xml:space="preserve">   350610</v>
      </c>
      <c r="B1844" t="str">
        <f>T("   Produits de toute espèce à usage de colles ou d'adhésifs, conditionnés pour la vente au détail comme colles ou adhésifs, d'un poids net &lt;= 1 kg")</f>
        <v xml:space="preserve">   Produits de toute espèce à usage de colles ou d'adhésifs, conditionnés pour la vente au détail comme colles ou adhésifs, d'un poids net &lt;= 1 kg</v>
      </c>
      <c r="C1844">
        <v>30925456</v>
      </c>
      <c r="D1844">
        <v>107460</v>
      </c>
    </row>
    <row r="1845" spans="1:4" x14ac:dyDescent="0.25">
      <c r="A1845" t="str">
        <f>T("   350691")</f>
        <v xml:space="preserve">   350691</v>
      </c>
      <c r="B1845" t="str">
        <f>T("   Adhésifs à base de polymères du n° 3901 à 3913 ou de caoutchouc (à l'excl. des produits conditionnés pour la vente au détail comme colles ou adhésifs, d'un poids net &lt;= 1 kg)")</f>
        <v xml:space="preserve">   Adhésifs à base de polymères du n° 3901 à 3913 ou de caoutchouc (à l'excl. des produits conditionnés pour la vente au détail comme colles ou adhésifs, d'un poids net &lt;= 1 kg)</v>
      </c>
      <c r="C1845">
        <v>1102064</v>
      </c>
      <c r="D1845">
        <v>900</v>
      </c>
    </row>
    <row r="1846" spans="1:4" x14ac:dyDescent="0.25">
      <c r="A1846" t="str">
        <f>T("   350699")</f>
        <v xml:space="preserve">   350699</v>
      </c>
      <c r="B1846" t="str">
        <f>T("   Colles et autres adhésifs préparés, n.d.a.")</f>
        <v xml:space="preserve">   Colles et autres adhésifs préparés, n.d.a.</v>
      </c>
      <c r="C1846">
        <v>1526298</v>
      </c>
      <c r="D1846">
        <v>8498</v>
      </c>
    </row>
    <row r="1847" spans="1:4" x14ac:dyDescent="0.25">
      <c r="A1847" t="str">
        <f>T("   350790")</f>
        <v xml:space="preserve">   350790</v>
      </c>
      <c r="B1847" t="str">
        <f>T("   Enzymes et enzymes préparées, n.d.a. (à l'excl. de la présure et de ses concentrats)")</f>
        <v xml:space="preserve">   Enzymes et enzymes préparées, n.d.a. (à l'excl. de la présure et de ses concentrats)</v>
      </c>
      <c r="C1847">
        <v>6975867</v>
      </c>
      <c r="D1847">
        <v>35403</v>
      </c>
    </row>
    <row r="1848" spans="1:4" x14ac:dyDescent="0.25">
      <c r="A1848" t="str">
        <f>T("   360200")</f>
        <v xml:space="preserve">   360200</v>
      </c>
      <c r="B1848" t="str">
        <f>T("   Explosifs préparés (à l'excl. des poudres propulsives)")</f>
        <v xml:space="preserve">   Explosifs préparés (à l'excl. des poudres propulsives)</v>
      </c>
      <c r="C1848">
        <v>5545132</v>
      </c>
      <c r="D1848">
        <v>910</v>
      </c>
    </row>
    <row r="1849" spans="1:4" x14ac:dyDescent="0.25">
      <c r="A1849" t="str">
        <f>T("   360300")</f>
        <v xml:space="preserve">   360300</v>
      </c>
      <c r="B1849" t="str">
        <f>T("   Mèches de sûreté; cordeaux détonants; amorces et capsules fulminantes; allumeurs; détonateurs électriques (à l'excl. des fusées d'obus et des douilles, munies ou non de leurs amorces)")</f>
        <v xml:space="preserve">   Mèches de sûreté; cordeaux détonants; amorces et capsules fulminantes; allumeurs; détonateurs électriques (à l'excl. des fusées d'obus et des douilles, munies ou non de leurs amorces)</v>
      </c>
      <c r="C1849">
        <v>550400</v>
      </c>
      <c r="D1849">
        <v>21</v>
      </c>
    </row>
    <row r="1850" spans="1:4" x14ac:dyDescent="0.25">
      <c r="A1850" t="str">
        <f>T("   360500")</f>
        <v xml:space="preserve">   360500</v>
      </c>
      <c r="B1850" t="str">
        <f>T("   Allumettes (autres que les articles de pyrotechnie du n° 3604)")</f>
        <v xml:space="preserve">   Allumettes (autres que les articles de pyrotechnie du n° 3604)</v>
      </c>
      <c r="C1850">
        <v>383217309</v>
      </c>
      <c r="D1850">
        <v>1051348</v>
      </c>
    </row>
    <row r="1851" spans="1:4" x14ac:dyDescent="0.25">
      <c r="A1851" t="str">
        <f>T("   360610")</f>
        <v xml:space="preserve">   360610</v>
      </c>
      <c r="B1851" t="str">
        <f>T("   Combustibles liquides et gaz combustibles liquéfiés en récipients des types utilisés pour alimenter ou recharger les briquets ou les allumeurs et d'une capacité &lt;= 300 cm³")</f>
        <v xml:space="preserve">   Combustibles liquides et gaz combustibles liquéfiés en récipients des types utilisés pour alimenter ou recharger les briquets ou les allumeurs et d'une capacité &lt;= 300 cm³</v>
      </c>
      <c r="C1851">
        <v>2500000</v>
      </c>
      <c r="D1851">
        <v>8260</v>
      </c>
    </row>
    <row r="1852" spans="1:4" x14ac:dyDescent="0.25">
      <c r="A1852" t="str">
        <f>T("   370231")</f>
        <v xml:space="preserve">   370231</v>
      </c>
      <c r="B1852" t="s">
        <v>115</v>
      </c>
      <c r="C1852">
        <v>1000000</v>
      </c>
      <c r="D1852">
        <v>4350</v>
      </c>
    </row>
    <row r="1853" spans="1:4" x14ac:dyDescent="0.25">
      <c r="A1853" t="str">
        <f>T("   370256")</f>
        <v xml:space="preserve">   370256</v>
      </c>
      <c r="B1853" t="str">
        <f>T("   Pellicules photographiques sensibilisées, non impressionnées, perforées, en rouleaux, d'une largeur &gt; 35 mm, pour la photographie en couleurs [polychrome] (à l'excl. des produits en papier, en carton ou en matières textiles)")</f>
        <v xml:space="preserve">   Pellicules photographiques sensibilisées, non impressionnées, perforées, en rouleaux, d'une largeur &gt; 35 mm, pour la photographie en couleurs [polychrome] (à l'excl. des produits en papier, en carton ou en matières textiles)</v>
      </c>
      <c r="C1853">
        <v>1304456</v>
      </c>
      <c r="D1853">
        <v>3172</v>
      </c>
    </row>
    <row r="1854" spans="1:4" x14ac:dyDescent="0.25">
      <c r="A1854" t="str">
        <f>T("   370320")</f>
        <v xml:space="preserve">   370320</v>
      </c>
      <c r="B1854" t="str">
        <f>T("   PAPIERS, CARTONS ET TEXTILES, PHOTOGRAPHIQUES, SENSIBILISÉS, NON-IMPRESSIONNÉS, POUR LA PHOTOGRAPHIE EN COULEURS [POLYCHROME] (À L'EXCL. DES PRODUITS EN ROULEAUX D'UNE LARGEUR &gt; 610 MM)")</f>
        <v xml:space="preserve">   PAPIERS, CARTONS ET TEXTILES, PHOTOGRAPHIQUES, SENSIBILISÉS, NON-IMPRESSIONNÉS, POUR LA PHOTOGRAPHIE EN COULEURS [POLYCHROME] (À L'EXCL. DES PRODUITS EN ROULEAUX D'UNE LARGEUR &gt; 610 MM)</v>
      </c>
      <c r="C1854">
        <v>15384549</v>
      </c>
      <c r="D1854">
        <v>79850</v>
      </c>
    </row>
    <row r="1855" spans="1:4" x14ac:dyDescent="0.25">
      <c r="A1855" t="str">
        <f>T("   370510")</f>
        <v xml:space="preserve">   370510</v>
      </c>
      <c r="B1855" t="str">
        <f>T("   Plaques et pellicules, photographiques, impressionnées et développées, pour la reproduction offset (à l'excl. des plaques prêtes à l'emploi ainsi que des produits en papier, en carton ou en matières textiles)")</f>
        <v xml:space="preserve">   Plaques et pellicules, photographiques, impressionnées et développées, pour la reproduction offset (à l'excl. des plaques prêtes à l'emploi ainsi que des produits en papier, en carton ou en matières textiles)</v>
      </c>
      <c r="C1855">
        <v>3500000</v>
      </c>
      <c r="D1855">
        <v>6860</v>
      </c>
    </row>
    <row r="1856" spans="1:4" x14ac:dyDescent="0.25">
      <c r="A1856" t="str">
        <f>T("   370790")</f>
        <v xml:space="preserve">   370790</v>
      </c>
      <c r="B1856" t="s">
        <v>118</v>
      </c>
      <c r="C1856">
        <v>11528456</v>
      </c>
      <c r="D1856">
        <v>56015</v>
      </c>
    </row>
    <row r="1857" spans="1:4" x14ac:dyDescent="0.25">
      <c r="A1857" t="str">
        <f>T("   380590")</f>
        <v xml:space="preserve">   380590</v>
      </c>
      <c r="B1857" t="s">
        <v>119</v>
      </c>
      <c r="C1857">
        <v>1553969</v>
      </c>
      <c r="D1857">
        <v>1225</v>
      </c>
    </row>
    <row r="1858" spans="1:4" x14ac:dyDescent="0.25">
      <c r="A1858" t="str">
        <f>T("   380810")</f>
        <v xml:space="preserve">   380810</v>
      </c>
      <c r="B1858" t="str">
        <f>T("   Insecticides présentés dans des formes ou emballages de vente au détail ou à l'état de préparations ou sous forme d'articles")</f>
        <v xml:space="preserve">   Insecticides présentés dans des formes ou emballages de vente au détail ou à l'état de préparations ou sous forme d'articles</v>
      </c>
      <c r="C1858">
        <v>586561173</v>
      </c>
      <c r="D1858">
        <v>3743462</v>
      </c>
    </row>
    <row r="1859" spans="1:4" x14ac:dyDescent="0.25">
      <c r="A1859" t="str">
        <f>T("   380830")</f>
        <v xml:space="preserve">   380830</v>
      </c>
      <c r="B1859" t="str">
        <f>T("   Herbicides, inhibiteurs de germination et régulateurs de croissance pour plantes, présentés dans des formes ou emballages de vente au détail ou à l'état de préparations ou sous forme d'articles")</f>
        <v xml:space="preserve">   Herbicides, inhibiteurs de germination et régulateurs de croissance pour plantes, présentés dans des formes ou emballages de vente au détail ou à l'état de préparations ou sous forme d'articles</v>
      </c>
      <c r="C1859">
        <v>248701742</v>
      </c>
      <c r="D1859">
        <v>209654</v>
      </c>
    </row>
    <row r="1860" spans="1:4" x14ac:dyDescent="0.25">
      <c r="A1860" t="str">
        <f>T("   380890")</f>
        <v xml:space="preserve">   380890</v>
      </c>
      <c r="B1860" t="str">
        <f>T("   Antirongeurs et autres produits phytosanitaires, présentés dans des formes ou emballages de vente au détail ou à l'état de préparations ou sous forme d'articles (à l'excl. des insecticides, des fongicides, des herbicides et des désinfectants)")</f>
        <v xml:space="preserve">   Antirongeurs et autres produits phytosanitaires, présentés dans des formes ou emballages de vente au détail ou à l'état de préparations ou sous forme d'articles (à l'excl. des insecticides, des fongicides, des herbicides et des désinfectants)</v>
      </c>
      <c r="C1860">
        <v>28314040</v>
      </c>
      <c r="D1860">
        <v>155442</v>
      </c>
    </row>
    <row r="1861" spans="1:4" x14ac:dyDescent="0.25">
      <c r="A1861" t="str">
        <f>T("   381010")</f>
        <v xml:space="preserve">   381010</v>
      </c>
      <c r="B1861" t="str">
        <f>T("   Préparations pour le décapage des métaux; pâtes et poudres à souder ou à braser composées de métal et d'autres produits")</f>
        <v xml:space="preserve">   Préparations pour le décapage des métaux; pâtes et poudres à souder ou à braser composées de métal et d'autres produits</v>
      </c>
      <c r="C1861">
        <v>9800000</v>
      </c>
      <c r="D1861">
        <v>118980</v>
      </c>
    </row>
    <row r="1862" spans="1:4" x14ac:dyDescent="0.25">
      <c r="A1862" t="str">
        <f>T("   381090")</f>
        <v xml:space="preserve">   381090</v>
      </c>
      <c r="B1862" t="s">
        <v>123</v>
      </c>
      <c r="C1862">
        <v>21080062</v>
      </c>
      <c r="D1862">
        <v>211209</v>
      </c>
    </row>
    <row r="1863" spans="1:4" x14ac:dyDescent="0.25">
      <c r="A1863" t="str">
        <f>T("   381129")</f>
        <v xml:space="preserve">   381129</v>
      </c>
      <c r="B1863" t="str">
        <f>T("   Additifs préparés pour huiles lubrifiantes, ne contenant pas d'huiles de pétrole ou de minéraux bitumineux")</f>
        <v xml:space="preserve">   Additifs préparés pour huiles lubrifiantes, ne contenant pas d'huiles de pétrole ou de minéraux bitumineux</v>
      </c>
      <c r="C1863">
        <v>2563944</v>
      </c>
      <c r="D1863">
        <v>1075</v>
      </c>
    </row>
    <row r="1864" spans="1:4" x14ac:dyDescent="0.25">
      <c r="A1864" t="str">
        <f>T("   381400")</f>
        <v xml:space="preserve">   381400</v>
      </c>
      <c r="B1864" t="str">
        <f>T("   Solvants et diluants organiques composites, n.d.a.; préparations conçues pour enlever les peintures ou les vernis (à l'excl. des dissolvants pour vernis à ongles)")</f>
        <v xml:space="preserve">   Solvants et diluants organiques composites, n.d.a.; préparations conçues pour enlever les peintures ou les vernis (à l'excl. des dissolvants pour vernis à ongles)</v>
      </c>
      <c r="C1864">
        <v>100077170</v>
      </c>
      <c r="D1864">
        <v>451610</v>
      </c>
    </row>
    <row r="1865" spans="1:4" x14ac:dyDescent="0.25">
      <c r="A1865" t="str">
        <f>T("   382200")</f>
        <v xml:space="preserve">   382200</v>
      </c>
      <c r="B1865" t="s">
        <v>126</v>
      </c>
      <c r="C1865">
        <v>8954986</v>
      </c>
      <c r="D1865">
        <v>471.8</v>
      </c>
    </row>
    <row r="1866" spans="1:4" x14ac:dyDescent="0.25">
      <c r="A1866" t="str">
        <f>T("   382490")</f>
        <v xml:space="preserve">   382490</v>
      </c>
      <c r="B1866" t="str">
        <f>T("   Produits chimiques et préparations des industries chimiques ou des industries connexes, y.c. celles consistant en mélanges de produits naturels, n.d.a.")</f>
        <v xml:space="preserve">   Produits chimiques et préparations des industries chimiques ou des industries connexes, y.c. celles consistant en mélanges de produits naturels, n.d.a.</v>
      </c>
      <c r="C1866">
        <v>514469</v>
      </c>
      <c r="D1866">
        <v>3125</v>
      </c>
    </row>
    <row r="1867" spans="1:4" x14ac:dyDescent="0.25">
      <c r="A1867" t="str">
        <f>T("   390110")</f>
        <v xml:space="preserve">   390110</v>
      </c>
      <c r="B1867" t="str">
        <f>T("   Polyéthylène d'une densité &lt; 0,94, sous formes primaires")</f>
        <v xml:space="preserve">   Polyéthylène d'une densité &lt; 0,94, sous formes primaires</v>
      </c>
      <c r="C1867">
        <v>38438190</v>
      </c>
      <c r="D1867">
        <v>309570</v>
      </c>
    </row>
    <row r="1868" spans="1:4" x14ac:dyDescent="0.25">
      <c r="A1868" t="str">
        <f>T("   390120")</f>
        <v xml:space="preserve">   390120</v>
      </c>
      <c r="B1868" t="str">
        <f>T("   Polyéthylène d'une densité &gt;= 0,94, sous formes primaires")</f>
        <v xml:space="preserve">   Polyéthylène d'une densité &gt;= 0,94, sous formes primaires</v>
      </c>
      <c r="C1868">
        <v>10128186</v>
      </c>
      <c r="D1868">
        <v>14250</v>
      </c>
    </row>
    <row r="1869" spans="1:4" x14ac:dyDescent="0.25">
      <c r="A1869" t="str">
        <f>T("   390190")</f>
        <v xml:space="preserve">   390190</v>
      </c>
      <c r="B1869" t="str">
        <f>T("   Polymères de l'éthylène, sous formes primaires (à l'excl. du polyéthylène ainsi que des copolymères d'éthylène et d'acétate de vinyle)")</f>
        <v xml:space="preserve">   Polymères de l'éthylène, sous formes primaires (à l'excl. du polyéthylène ainsi que des copolymères d'éthylène et d'acétate de vinyle)</v>
      </c>
      <c r="C1869">
        <v>162900266</v>
      </c>
      <c r="D1869">
        <v>1332782</v>
      </c>
    </row>
    <row r="1870" spans="1:4" x14ac:dyDescent="0.25">
      <c r="A1870" t="str">
        <f>T("   390311")</f>
        <v xml:space="preserve">   390311</v>
      </c>
      <c r="B1870" t="str">
        <f>T("   Polystyrène expansible, sous formes primaires")</f>
        <v xml:space="preserve">   Polystyrène expansible, sous formes primaires</v>
      </c>
      <c r="C1870">
        <v>9410577</v>
      </c>
      <c r="D1870">
        <v>45370</v>
      </c>
    </row>
    <row r="1871" spans="1:4" x14ac:dyDescent="0.25">
      <c r="A1871" t="str">
        <f>T("   390319")</f>
        <v xml:space="preserve">   390319</v>
      </c>
      <c r="B1871" t="str">
        <f>T("   Polystyrène sous formes primaires (à l'excl. du polystyrène expansible)")</f>
        <v xml:space="preserve">   Polystyrène sous formes primaires (à l'excl. du polystyrène expansible)</v>
      </c>
      <c r="C1871">
        <v>3576394</v>
      </c>
      <c r="D1871">
        <v>2282</v>
      </c>
    </row>
    <row r="1872" spans="1:4" x14ac:dyDescent="0.25">
      <c r="A1872" t="str">
        <f>T("   390422")</f>
        <v xml:space="preserve">   390422</v>
      </c>
      <c r="B1872" t="str">
        <f>T("   Poly[chlorure de vinyle] sous formes primaires, plastifié, mélangé à d'autres substances")</f>
        <v xml:space="preserve">   Poly[chlorure de vinyle] sous formes primaires, plastifié, mélangé à d'autres substances</v>
      </c>
      <c r="C1872">
        <v>8161278</v>
      </c>
      <c r="D1872">
        <v>16566</v>
      </c>
    </row>
    <row r="1873" spans="1:4" x14ac:dyDescent="0.25">
      <c r="A1873" t="str">
        <f>T("   390529")</f>
        <v xml:space="preserve">   390529</v>
      </c>
      <c r="B1873" t="str">
        <f>T("   Copolymères d'acétate de vinyle, sous formes primaires (à l'excl. des produits en dispersion aqueuse)")</f>
        <v xml:space="preserve">   Copolymères d'acétate de vinyle, sous formes primaires (à l'excl. des produits en dispersion aqueuse)</v>
      </c>
      <c r="C1873">
        <v>600000</v>
      </c>
      <c r="D1873">
        <v>2000</v>
      </c>
    </row>
    <row r="1874" spans="1:4" x14ac:dyDescent="0.25">
      <c r="A1874" t="str">
        <f>T("   391110")</f>
        <v xml:space="preserve">   391110</v>
      </c>
      <c r="B1874" t="str">
        <f>T("   Résines de pétrole, résines de coumarone, résines d'indène, résines de coumarone-indène et polyterpènes, sous formes primaires")</f>
        <v xml:space="preserve">   Résines de pétrole, résines de coumarone, résines d'indène, résines de coumarone-indène et polyterpènes, sous formes primaires</v>
      </c>
      <c r="C1874">
        <v>4320152</v>
      </c>
      <c r="D1874">
        <v>4500</v>
      </c>
    </row>
    <row r="1875" spans="1:4" x14ac:dyDescent="0.25">
      <c r="A1875" t="str">
        <f>T("   391620")</f>
        <v xml:space="preserve">   391620</v>
      </c>
      <c r="B1875" t="str">
        <f>T("   Monofilaments dont la plus grande dimension de la coupe transversale &gt; 1 mm [monofils], joncs, bâtons et profilés, même ouvrés en surface mais non autrement travaillés, en polymères du chlorure de vinyle")</f>
        <v xml:space="preserve">   Monofilaments dont la plus grande dimension de la coupe transversale &gt; 1 mm [monofils], joncs, bâtons et profilés, même ouvrés en surface mais non autrement travaillés, en polymères du chlorure de vinyle</v>
      </c>
      <c r="C1875">
        <v>116478</v>
      </c>
      <c r="D1875">
        <v>239</v>
      </c>
    </row>
    <row r="1876" spans="1:4" x14ac:dyDescent="0.25">
      <c r="A1876" t="str">
        <f>T("   391721")</f>
        <v xml:space="preserve">   391721</v>
      </c>
      <c r="B1876" t="str">
        <f>T("   TUBES ET TUYAUX RIGIDES, EN POLYMÈRES DE L'ÉTHYLÈNE")</f>
        <v xml:space="preserve">   TUBES ET TUYAUX RIGIDES, EN POLYMÈRES DE L'ÉTHYLÈNE</v>
      </c>
      <c r="C1876">
        <v>195500083</v>
      </c>
      <c r="D1876">
        <v>144441</v>
      </c>
    </row>
    <row r="1877" spans="1:4" x14ac:dyDescent="0.25">
      <c r="A1877" t="str">
        <f>T("   391723")</f>
        <v xml:space="preserve">   391723</v>
      </c>
      <c r="B1877" t="str">
        <f>T("   TUBES ET TUYAUX RIGIDES, EN POLYMÈRES DU CHLORURE DE VINYLE")</f>
        <v xml:space="preserve">   TUBES ET TUYAUX RIGIDES, EN POLYMÈRES DU CHLORURE DE VINYLE</v>
      </c>
      <c r="C1877">
        <v>34964600</v>
      </c>
      <c r="D1877">
        <v>67125</v>
      </c>
    </row>
    <row r="1878" spans="1:4" x14ac:dyDescent="0.25">
      <c r="A1878" t="str">
        <f>T("   391729")</f>
        <v xml:space="preserve">   391729</v>
      </c>
      <c r="B1878" t="str">
        <f>T("   TUBES ET TUYAUX RIGIDES, EN MATIÈRES PLASTIQUES (À L'EXCL. DES TUBES ET TUYAUX EN POLYMÈRES DE L'ÉTHYLÈNE, DU PROPYLÈNE OU DU CHLORURE DE VINYLE)")</f>
        <v xml:space="preserve">   TUBES ET TUYAUX RIGIDES, EN MATIÈRES PLASTIQUES (À L'EXCL. DES TUBES ET TUYAUX EN POLYMÈRES DE L'ÉTHYLÈNE, DU PROPYLÈNE OU DU CHLORURE DE VINYLE)</v>
      </c>
      <c r="C1878">
        <v>23061994</v>
      </c>
      <c r="D1878">
        <v>24685</v>
      </c>
    </row>
    <row r="1879" spans="1:4" x14ac:dyDescent="0.25">
      <c r="A1879" t="str">
        <f>T("   391739")</f>
        <v xml:space="preserve">   391739</v>
      </c>
      <c r="B1879" t="str">
        <f>T("   TUBES ET TUYAUX SOUPLES, EN MATIÈRES PLASTIQUES, RENFORCÉS D'AUTRES MATIÈRES OU ASSOCIÉS À D'AUTRES MATIÈRES (À L'EXCL. DES PRODUITS POUVANT SUPPORTER UNE PRESSION &gt;= 27,6 MPA)")</f>
        <v xml:space="preserve">   TUBES ET TUYAUX SOUPLES, EN MATIÈRES PLASTIQUES, RENFORCÉS D'AUTRES MATIÈRES OU ASSOCIÉS À D'AUTRES MATIÈRES (À L'EXCL. DES PRODUITS POUVANT SUPPORTER UNE PRESSION &gt;= 27,6 MPA)</v>
      </c>
      <c r="C1879">
        <v>4478272</v>
      </c>
      <c r="D1879">
        <v>12565</v>
      </c>
    </row>
    <row r="1880" spans="1:4" x14ac:dyDescent="0.25">
      <c r="A1880" t="str">
        <f>T("   391740")</f>
        <v xml:space="preserve">   391740</v>
      </c>
      <c r="B1880" t="str">
        <f>T("   Accessoires pour tubes ou tuyaux [joints, coudes, raccords, par exemple], en matières plastiques")</f>
        <v xml:space="preserve">   Accessoires pour tubes ou tuyaux [joints, coudes, raccords, par exemple], en matières plastiques</v>
      </c>
      <c r="C1880">
        <v>18020982</v>
      </c>
      <c r="D1880">
        <v>44133</v>
      </c>
    </row>
    <row r="1881" spans="1:4" x14ac:dyDescent="0.25">
      <c r="A1881" t="str">
        <f>T("   391890")</f>
        <v xml:space="preserve">   391890</v>
      </c>
      <c r="B1881" t="s">
        <v>132</v>
      </c>
      <c r="C1881">
        <v>6172159</v>
      </c>
      <c r="D1881">
        <v>34423</v>
      </c>
    </row>
    <row r="1882" spans="1:4" x14ac:dyDescent="0.25">
      <c r="A1882" t="str">
        <f>T("   391910")</f>
        <v xml:space="preserve">   391910</v>
      </c>
      <c r="B1882" t="str">
        <f>T("   Feuilles, bandes, rubans, pellicules et autres formes plates, auto-adhésifs, en matières plastiques, en rouleaux d'une largeur &lt;= 20 cm")</f>
        <v xml:space="preserve">   Feuilles, bandes, rubans, pellicules et autres formes plates, auto-adhésifs, en matières plastiques, en rouleaux d'une largeur &lt;= 20 cm</v>
      </c>
      <c r="C1882">
        <v>11927967</v>
      </c>
      <c r="D1882">
        <v>14545</v>
      </c>
    </row>
    <row r="1883" spans="1:4" x14ac:dyDescent="0.25">
      <c r="A1883" t="str">
        <f>T("   391990")</f>
        <v xml:space="preserve">   391990</v>
      </c>
      <c r="B1883" t="s">
        <v>133</v>
      </c>
      <c r="C1883">
        <v>66601628</v>
      </c>
      <c r="D1883">
        <v>63281</v>
      </c>
    </row>
    <row r="1884" spans="1:4" x14ac:dyDescent="0.25">
      <c r="A1884" t="str">
        <f>T("   392020")</f>
        <v xml:space="preserve">   392020</v>
      </c>
      <c r="B1884" t="s">
        <v>135</v>
      </c>
      <c r="C1884">
        <v>4183484</v>
      </c>
      <c r="D1884">
        <v>4496</v>
      </c>
    </row>
    <row r="1885" spans="1:4" x14ac:dyDescent="0.25">
      <c r="A1885" t="str">
        <f>T("   392049")</f>
        <v xml:space="preserve">   392049</v>
      </c>
      <c r="B1885" t="s">
        <v>138</v>
      </c>
      <c r="C1885">
        <v>1965963</v>
      </c>
      <c r="D1885">
        <v>7156</v>
      </c>
    </row>
    <row r="1886" spans="1:4" x14ac:dyDescent="0.25">
      <c r="A1886" t="str">
        <f>T("   392062")</f>
        <v xml:space="preserve">   392062</v>
      </c>
      <c r="B1886" t="s">
        <v>140</v>
      </c>
      <c r="C1886">
        <v>3169615</v>
      </c>
      <c r="D1886">
        <v>795</v>
      </c>
    </row>
    <row r="1887" spans="1:4" x14ac:dyDescent="0.25">
      <c r="A1887" t="str">
        <f>T("   392099")</f>
        <v xml:space="preserve">   392099</v>
      </c>
      <c r="B1887" t="s">
        <v>145</v>
      </c>
      <c r="C1887">
        <v>4436746</v>
      </c>
      <c r="D1887">
        <v>16044</v>
      </c>
    </row>
    <row r="1888" spans="1:4" x14ac:dyDescent="0.25">
      <c r="A1888" t="str">
        <f>T("   392190")</f>
        <v xml:space="preserve">   392190</v>
      </c>
      <c r="B1888" t="s">
        <v>149</v>
      </c>
      <c r="C1888">
        <v>34118277</v>
      </c>
      <c r="D1888">
        <v>67971</v>
      </c>
    </row>
    <row r="1889" spans="1:4" x14ac:dyDescent="0.25">
      <c r="A1889" t="str">
        <f>T("   392210")</f>
        <v xml:space="preserve">   392210</v>
      </c>
      <c r="B1889" t="str">
        <f>T("   Baignoires, douches, éviers et lavabos, en matières plastiques")</f>
        <v xml:space="preserve">   Baignoires, douches, éviers et lavabos, en matières plastiques</v>
      </c>
      <c r="C1889">
        <v>12950710</v>
      </c>
      <c r="D1889">
        <v>44641</v>
      </c>
    </row>
    <row r="1890" spans="1:4" x14ac:dyDescent="0.25">
      <c r="A1890" t="str">
        <f>T("   392220")</f>
        <v xml:space="preserve">   392220</v>
      </c>
      <c r="B1890" t="str">
        <f>T("   Sièges et couvercles de cuvettes d'aisance, en matières plastiques")</f>
        <v xml:space="preserve">   Sièges et couvercles de cuvettes d'aisance, en matières plastiques</v>
      </c>
      <c r="C1890">
        <v>3697452</v>
      </c>
      <c r="D1890">
        <v>4984</v>
      </c>
    </row>
    <row r="1891" spans="1:4" x14ac:dyDescent="0.25">
      <c r="A1891" t="str">
        <f>T("   392290")</f>
        <v xml:space="preserve">   392290</v>
      </c>
      <c r="B1891" t="str">
        <f>T("   Bidets, cuvettes d'aisance, réservoirs de chasse et articles simil. pour usages sanitaires ou hygiéniques, en matières plastiques (à l'excl. des baignoires, des douches, d'éviers, des lavabos ainsi que des sièges et couvercles de cuvettes d'aisance)")</f>
        <v xml:space="preserve">   Bidets, cuvettes d'aisance, réservoirs de chasse et articles simil. pour usages sanitaires ou hygiéniques, en matières plastiques (à l'excl. des baignoires, des douches, d'éviers, des lavabos ainsi que des sièges et couvercles de cuvettes d'aisance)</v>
      </c>
      <c r="C1891">
        <v>48378331</v>
      </c>
      <c r="D1891">
        <v>78850</v>
      </c>
    </row>
    <row r="1892" spans="1:4" x14ac:dyDescent="0.25">
      <c r="A1892" t="str">
        <f>T("   392310")</f>
        <v xml:space="preserve">   392310</v>
      </c>
      <c r="B1892" t="str">
        <f>T("   Boîtes, caisses, casiers et articles simil. pour le transport ou l'emballage, en matières plastiques")</f>
        <v xml:space="preserve">   Boîtes, caisses, casiers et articles simil. pour le transport ou l'emballage, en matières plastiques</v>
      </c>
      <c r="C1892">
        <v>4879086</v>
      </c>
      <c r="D1892">
        <v>32636</v>
      </c>
    </row>
    <row r="1893" spans="1:4" x14ac:dyDescent="0.25">
      <c r="A1893" t="str">
        <f>T("   392321")</f>
        <v xml:space="preserve">   392321</v>
      </c>
      <c r="B1893" t="str">
        <f>T("   Sacs, sachets, pochettes et cornets, en polymères de l'éthylène")</f>
        <v xml:space="preserve">   Sacs, sachets, pochettes et cornets, en polymères de l'éthylène</v>
      </c>
      <c r="C1893">
        <v>90757791</v>
      </c>
      <c r="D1893">
        <v>107329</v>
      </c>
    </row>
    <row r="1894" spans="1:4" x14ac:dyDescent="0.25">
      <c r="A1894" t="str">
        <f>T("   392329")</f>
        <v xml:space="preserve">   392329</v>
      </c>
      <c r="B1894" t="str">
        <f>T("   Sacs, sachets, pochettes et cornets, en matières plastiques (autres que les polymères de l'éthylène)")</f>
        <v xml:space="preserve">   Sacs, sachets, pochettes et cornets, en matières plastiques (autres que les polymères de l'éthylène)</v>
      </c>
      <c r="C1894">
        <v>1292677535</v>
      </c>
      <c r="D1894">
        <v>8840123.4800000004</v>
      </c>
    </row>
    <row r="1895" spans="1:4" x14ac:dyDescent="0.25">
      <c r="A1895" t="str">
        <f>T("   392330")</f>
        <v xml:space="preserve">   392330</v>
      </c>
      <c r="B1895" t="str">
        <f>T("   Bonbonnes, bouteilles, flacons et articles simil. pour le transport ou l'emballage, en matières plastiques")</f>
        <v xml:space="preserve">   Bonbonnes, bouteilles, flacons et articles simil. pour le transport ou l'emballage, en matières plastiques</v>
      </c>
      <c r="C1895">
        <v>6541713</v>
      </c>
      <c r="D1895">
        <v>13597</v>
      </c>
    </row>
    <row r="1896" spans="1:4" x14ac:dyDescent="0.25">
      <c r="A1896" t="str">
        <f>T("   392350")</f>
        <v xml:space="preserve">   392350</v>
      </c>
      <c r="B1896" t="str">
        <f>T("   Bouchons, couvercles, capsules et autres dispositifs de fermeture, en matières plastiques")</f>
        <v xml:space="preserve">   Bouchons, couvercles, capsules et autres dispositifs de fermeture, en matières plastiques</v>
      </c>
      <c r="C1896">
        <v>6475848</v>
      </c>
      <c r="D1896">
        <v>22190</v>
      </c>
    </row>
    <row r="1897" spans="1:4" x14ac:dyDescent="0.25">
      <c r="A1897" t="str">
        <f>T("   392390")</f>
        <v xml:space="preserve">   392390</v>
      </c>
      <c r="B1897" t="s">
        <v>150</v>
      </c>
      <c r="C1897">
        <v>13500328</v>
      </c>
      <c r="D1897">
        <v>38639</v>
      </c>
    </row>
    <row r="1898" spans="1:4" x14ac:dyDescent="0.25">
      <c r="A1898" t="str">
        <f>T("   392410")</f>
        <v xml:space="preserve">   392410</v>
      </c>
      <c r="B1898" t="str">
        <f>T("   Vaisselle et autres articles pour le service de la table ou de la cuisine, en matières plastiques")</f>
        <v xml:space="preserve">   Vaisselle et autres articles pour le service de la table ou de la cuisine, en matières plastiques</v>
      </c>
      <c r="C1898">
        <v>537687270</v>
      </c>
      <c r="D1898">
        <v>2616236.52</v>
      </c>
    </row>
    <row r="1899" spans="1:4" x14ac:dyDescent="0.25">
      <c r="A1899" t="str">
        <f>T("   392490")</f>
        <v xml:space="preserve">   392490</v>
      </c>
      <c r="B1899" t="s">
        <v>151</v>
      </c>
      <c r="C1899">
        <v>59804999</v>
      </c>
      <c r="D1899">
        <v>199227.06</v>
      </c>
    </row>
    <row r="1900" spans="1:4" x14ac:dyDescent="0.25">
      <c r="A1900" t="str">
        <f>T("   392510")</f>
        <v xml:space="preserve">   392510</v>
      </c>
      <c r="B1900" t="str">
        <f>T("   Réservoirs, foudres, cuves et récipients analogues, en matières plastiques, d'une contenance &gt; 300 l")</f>
        <v xml:space="preserve">   Réservoirs, foudres, cuves et récipients analogues, en matières plastiques, d'une contenance &gt; 300 l</v>
      </c>
      <c r="C1900">
        <v>33920433</v>
      </c>
      <c r="D1900">
        <v>16424</v>
      </c>
    </row>
    <row r="1901" spans="1:4" x14ac:dyDescent="0.25">
      <c r="A1901" t="str">
        <f>T("   392520")</f>
        <v xml:space="preserve">   392520</v>
      </c>
      <c r="B1901" t="str">
        <f>T("   Portes, fenêtres et leurs cadres, chambranles et seuils, en matières plastiques")</f>
        <v xml:space="preserve">   Portes, fenêtres et leurs cadres, chambranles et seuils, en matières plastiques</v>
      </c>
      <c r="C1901">
        <v>1542008</v>
      </c>
      <c r="D1901">
        <v>8400</v>
      </c>
    </row>
    <row r="1902" spans="1:4" x14ac:dyDescent="0.25">
      <c r="A1902" t="str">
        <f>T("   392590")</f>
        <v xml:space="preserve">   392590</v>
      </c>
      <c r="B1902" t="s">
        <v>152</v>
      </c>
      <c r="C1902">
        <v>8426596</v>
      </c>
      <c r="D1902">
        <v>39996</v>
      </c>
    </row>
    <row r="1903" spans="1:4" x14ac:dyDescent="0.25">
      <c r="A1903" t="str">
        <f>T("   392610")</f>
        <v xml:space="preserve">   392610</v>
      </c>
      <c r="B1903" t="str">
        <f>T("   Articles de bureau et articles scolaires, en matières plastiques, n.d.a.")</f>
        <v xml:space="preserve">   Articles de bureau et articles scolaires, en matières plastiques, n.d.a.</v>
      </c>
      <c r="C1903">
        <v>60351388</v>
      </c>
      <c r="D1903">
        <v>86801</v>
      </c>
    </row>
    <row r="1904" spans="1:4" x14ac:dyDescent="0.25">
      <c r="A1904" t="str">
        <f>T("   392620")</f>
        <v xml:space="preserve">   392620</v>
      </c>
      <c r="B1904" t="str">
        <f>T("   Vêtements et accessoires du vêtement, y.c. les gants, mitaines et moufles, fabriqués par couture ou collage à partir de feuilles en matières plastiques")</f>
        <v xml:space="preserve">   Vêtements et accessoires du vêtement, y.c. les gants, mitaines et moufles, fabriqués par couture ou collage à partir de feuilles en matières plastiques</v>
      </c>
      <c r="C1904">
        <v>13357956</v>
      </c>
      <c r="D1904">
        <v>30660</v>
      </c>
    </row>
    <row r="1905" spans="1:4" x14ac:dyDescent="0.25">
      <c r="A1905" t="str">
        <f>T("   392630")</f>
        <v xml:space="preserve">   392630</v>
      </c>
      <c r="B1905" t="str">
        <f>T("   Garnitures pour meubles, carrosseries ou simil., en matières plastiques (à l'excl. des articles d'équipement pour la construction destinés à être fixés à demeure sur des parties de bâtiments)")</f>
        <v xml:space="preserve">   Garnitures pour meubles, carrosseries ou simil., en matières plastiques (à l'excl. des articles d'équipement pour la construction destinés à être fixés à demeure sur des parties de bâtiments)</v>
      </c>
      <c r="C1905">
        <v>1037909</v>
      </c>
      <c r="D1905">
        <v>10346</v>
      </c>
    </row>
    <row r="1906" spans="1:4" x14ac:dyDescent="0.25">
      <c r="A1906" t="str">
        <f>T("   392640")</f>
        <v xml:space="preserve">   392640</v>
      </c>
      <c r="B1906" t="str">
        <f>T("   Statuettes et autres objets d'ornementation, en matières plastiques")</f>
        <v xml:space="preserve">   Statuettes et autres objets d'ornementation, en matières plastiques</v>
      </c>
      <c r="C1906">
        <v>12757366</v>
      </c>
      <c r="D1906">
        <v>34206</v>
      </c>
    </row>
    <row r="1907" spans="1:4" x14ac:dyDescent="0.25">
      <c r="A1907" t="str">
        <f>T("   392690")</f>
        <v xml:space="preserve">   392690</v>
      </c>
      <c r="B1907" t="str">
        <f>T("   Ouvrages en matières plastiques et ouvrages en autres matières du n° 3901 à 3914, n.d.a.")</f>
        <v xml:space="preserve">   Ouvrages en matières plastiques et ouvrages en autres matières du n° 3901 à 3914, n.d.a.</v>
      </c>
      <c r="C1907">
        <v>142768671</v>
      </c>
      <c r="D1907">
        <v>661133</v>
      </c>
    </row>
    <row r="1908" spans="1:4" x14ac:dyDescent="0.25">
      <c r="A1908" t="str">
        <f>T("   400299")</f>
        <v xml:space="preserve">   400299</v>
      </c>
      <c r="B1908" t="s">
        <v>153</v>
      </c>
      <c r="C1908">
        <v>37435</v>
      </c>
      <c r="D1908">
        <v>660</v>
      </c>
    </row>
    <row r="1909" spans="1:4" x14ac:dyDescent="0.25">
      <c r="A1909" t="str">
        <f>T("   400700")</f>
        <v xml:space="preserve">   400700</v>
      </c>
      <c r="B1909" t="s">
        <v>154</v>
      </c>
      <c r="C1909">
        <v>14104</v>
      </c>
      <c r="D1909">
        <v>157</v>
      </c>
    </row>
    <row r="1910" spans="1:4" x14ac:dyDescent="0.25">
      <c r="A1910" t="str">
        <f>T("   400811")</f>
        <v xml:space="preserve">   400811</v>
      </c>
      <c r="B1910" t="str">
        <f>T("   Plaques, feuilles et bandes, en caoutchouc alvéolaire non durci")</f>
        <v xml:space="preserve">   Plaques, feuilles et bandes, en caoutchouc alvéolaire non durci</v>
      </c>
      <c r="C1910">
        <v>494210</v>
      </c>
      <c r="D1910">
        <v>315</v>
      </c>
    </row>
    <row r="1911" spans="1:4" x14ac:dyDescent="0.25">
      <c r="A1911" t="str">
        <f>T("   400911")</f>
        <v xml:space="preserve">   400911</v>
      </c>
      <c r="B1911" t="str">
        <f>T("   Tubes et tuyaux en caoutchouc vulcanisé non durci, non renforcés à l'aide d'autres matières ni autrement associés à d'autres matières, sans accessoires")</f>
        <v xml:space="preserve">   Tubes et tuyaux en caoutchouc vulcanisé non durci, non renforcés à l'aide d'autres matières ni autrement associés à d'autres matières, sans accessoires</v>
      </c>
      <c r="C1911">
        <v>1668617</v>
      </c>
      <c r="D1911">
        <v>15908</v>
      </c>
    </row>
    <row r="1912" spans="1:4" x14ac:dyDescent="0.25">
      <c r="A1912" t="str">
        <f>T("   400912")</f>
        <v xml:space="preserve">   400912</v>
      </c>
      <c r="B1912" t="str">
        <f>T("   TUBES ET TUYAUX EN CAOUTCHOUC VULCANISÉ NON DURCI, NON RENFORCÉS À L'AIDE D'AUTRES MATIÈRES NI AUTREMENT ASSOCIÉS À D'AUTRES MATIÈRES, AVEC ACCESSOIRES [JOINTS, COUDES, RACCORDS, PAR EXEMPLE]")</f>
        <v xml:space="preserve">   TUBES ET TUYAUX EN CAOUTCHOUC VULCANISÉ NON DURCI, NON RENFORCÉS À L'AIDE D'AUTRES MATIÈRES NI AUTREMENT ASSOCIÉS À D'AUTRES MATIÈRES, AVEC ACCESSOIRES [JOINTS, COUDES, RACCORDS, PAR EXEMPLE]</v>
      </c>
      <c r="C1912">
        <v>707935</v>
      </c>
      <c r="D1912">
        <v>1471</v>
      </c>
    </row>
    <row r="1913" spans="1:4" x14ac:dyDescent="0.25">
      <c r="A1913" t="str">
        <f>T("   400942")</f>
        <v xml:space="preserve">   400942</v>
      </c>
      <c r="B1913" t="s">
        <v>155</v>
      </c>
      <c r="C1913">
        <v>1879210</v>
      </c>
      <c r="D1913">
        <v>3385</v>
      </c>
    </row>
    <row r="1914" spans="1:4" x14ac:dyDescent="0.25">
      <c r="A1914" t="str">
        <f>T("   401012")</f>
        <v xml:space="preserve">   401012</v>
      </c>
      <c r="B1914" t="str">
        <f>T("   Courroies transporteuses, en caoutchouc vulcanisé, renforcées seulement de matières textiles")</f>
        <v xml:space="preserve">   Courroies transporteuses, en caoutchouc vulcanisé, renforcées seulement de matières textiles</v>
      </c>
      <c r="C1914">
        <v>1327663</v>
      </c>
      <c r="D1914">
        <v>34</v>
      </c>
    </row>
    <row r="1915" spans="1:4" x14ac:dyDescent="0.25">
      <c r="A1915" t="str">
        <f>T("   401019")</f>
        <v xml:space="preserve">   401019</v>
      </c>
      <c r="B1915" t="str">
        <f>T("   Courroies transporteuses, en caoutchouc vulcanisé (à l'excl. des produits renforcés seulement de métal, de matières textiles ou de matières plastiques)")</f>
        <v xml:space="preserve">   Courroies transporteuses, en caoutchouc vulcanisé (à l'excl. des produits renforcés seulement de métal, de matières textiles ou de matières plastiques)</v>
      </c>
      <c r="C1915">
        <v>1017631</v>
      </c>
      <c r="D1915">
        <v>410</v>
      </c>
    </row>
    <row r="1916" spans="1:4" x14ac:dyDescent="0.25">
      <c r="A1916" t="str">
        <f>T("   401031")</f>
        <v xml:space="preserve">   401031</v>
      </c>
      <c r="B1916" t="str">
        <f>T("   Courroies de transmission sans fin de section trapézoïdale, en caoutchouc vulcanisé, striées, d'une circonférence extérieure &gt; 60 cm mais &lt;= 180 cm")</f>
        <v xml:space="preserve">   Courroies de transmission sans fin de section trapézoïdale, en caoutchouc vulcanisé, striées, d'une circonférence extérieure &gt; 60 cm mais &lt;= 180 cm</v>
      </c>
      <c r="C1916">
        <v>3006483</v>
      </c>
      <c r="D1916">
        <v>5919</v>
      </c>
    </row>
    <row r="1917" spans="1:4" x14ac:dyDescent="0.25">
      <c r="A1917" t="str">
        <f>T("   401039")</f>
        <v xml:space="preserve">   401039</v>
      </c>
      <c r="B1917" t="s">
        <v>157</v>
      </c>
      <c r="C1917">
        <v>1782223</v>
      </c>
      <c r="D1917">
        <v>46</v>
      </c>
    </row>
    <row r="1918" spans="1:4" x14ac:dyDescent="0.25">
      <c r="A1918" t="str">
        <f>T("   401110")</f>
        <v xml:space="preserve">   401110</v>
      </c>
      <c r="B1918"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1918">
        <v>166350028</v>
      </c>
      <c r="D1918">
        <v>89044</v>
      </c>
    </row>
    <row r="1919" spans="1:4" x14ac:dyDescent="0.25">
      <c r="A1919" t="str">
        <f>T("   401120")</f>
        <v xml:space="preserve">   401120</v>
      </c>
      <c r="B1919"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1919">
        <v>844983244</v>
      </c>
      <c r="D1919">
        <v>1816543</v>
      </c>
    </row>
    <row r="1920" spans="1:4" x14ac:dyDescent="0.25">
      <c r="A1920" t="str">
        <f>T("   401140")</f>
        <v xml:space="preserve">   401140</v>
      </c>
      <c r="B1920" t="str">
        <f>T("   Pneumatiques neufs, en caoutchouc, des types utilisés pour les motocycles")</f>
        <v xml:space="preserve">   Pneumatiques neufs, en caoutchouc, des types utilisés pour les motocycles</v>
      </c>
      <c r="C1920">
        <v>67440009</v>
      </c>
      <c r="D1920">
        <v>203457</v>
      </c>
    </row>
    <row r="1921" spans="1:4" x14ac:dyDescent="0.25">
      <c r="A1921" t="str">
        <f>T("   401150")</f>
        <v xml:space="preserve">   401150</v>
      </c>
      <c r="B1921" t="str">
        <f>T("   Pneumatiques neufs, en caoutchouc, des types utilisés pour les bicyclettes")</f>
        <v xml:space="preserve">   Pneumatiques neufs, en caoutchouc, des types utilisés pour les bicyclettes</v>
      </c>
      <c r="C1921">
        <v>1271933</v>
      </c>
      <c r="D1921">
        <v>11427</v>
      </c>
    </row>
    <row r="1922" spans="1:4" x14ac:dyDescent="0.25">
      <c r="A1922" t="str">
        <f>T("   401161")</f>
        <v xml:space="preserve">   401161</v>
      </c>
      <c r="B1922" t="str">
        <f>T("   Pneumatiques neufs, en caoutchouc, à crampons, à chevrons ou simil., des types utilisés pour les véhicules et engins agricoles et forestiers")</f>
        <v xml:space="preserve">   Pneumatiques neufs, en caoutchouc, à crampons, à chevrons ou simil., des types utilisés pour les véhicules et engins agricoles et forestiers</v>
      </c>
      <c r="C1922">
        <v>52756782</v>
      </c>
      <c r="D1922">
        <v>18754</v>
      </c>
    </row>
    <row r="1923" spans="1:4" x14ac:dyDescent="0.25">
      <c r="A1923" t="str">
        <f>T("   401169")</f>
        <v xml:space="preserve">   401169</v>
      </c>
      <c r="B1923" t="str">
        <f>T("   Pneumatiques neufs, en caoutchouc, à crampons, à chevrons ou simil. (à l'excl. des articles des types utilisés pour les véhicules et engins agricoles et forestiers, de génie civil et de manutention industrielle)")</f>
        <v xml:space="preserve">   Pneumatiques neufs, en caoutchouc, à crampons, à chevrons ou simil. (à l'excl. des articles des types utilisés pour les véhicules et engins agricoles et forestiers, de génie civil et de manutention industrielle)</v>
      </c>
      <c r="C1923">
        <v>7200000</v>
      </c>
      <c r="D1923">
        <v>8320</v>
      </c>
    </row>
    <row r="1924" spans="1:4" x14ac:dyDescent="0.25">
      <c r="A1924" t="str">
        <f>T("   401199")</f>
        <v xml:space="preserve">   401199</v>
      </c>
      <c r="B1924" t="s">
        <v>158</v>
      </c>
      <c r="C1924">
        <v>162588718</v>
      </c>
      <c r="D1924">
        <v>77990</v>
      </c>
    </row>
    <row r="1925" spans="1:4" x14ac:dyDescent="0.25">
      <c r="A1925" t="str">
        <f>T("   401219")</f>
        <v xml:space="preserve">   401219</v>
      </c>
      <c r="B1925" t="str">
        <f>T("   Pneumatiques rechapés, en caoutchouc (à l'excl. des pneumatiques des types utilisés pour les voitures de tourisme, les voitures du type 'break', les voitures de course, les autobus, les camions ou les véhicules aériens)")</f>
        <v xml:space="preserve">   Pneumatiques rechapés, en caoutchouc (à l'excl. des pneumatiques des types utilisés pour les voitures de tourisme, les voitures du type 'break', les voitures de course, les autobus, les camions ou les véhicules aériens)</v>
      </c>
      <c r="C1925">
        <v>216327980</v>
      </c>
      <c r="D1925">
        <v>1329000</v>
      </c>
    </row>
    <row r="1926" spans="1:4" x14ac:dyDescent="0.25">
      <c r="A1926" t="str">
        <f>T("   401220")</f>
        <v xml:space="preserve">   401220</v>
      </c>
      <c r="B1926" t="str">
        <f>T("   Pneumatiques usagés, en caoutchouc")</f>
        <v xml:space="preserve">   Pneumatiques usagés, en caoutchouc</v>
      </c>
      <c r="C1926">
        <v>173718401</v>
      </c>
      <c r="D1926">
        <v>1065146</v>
      </c>
    </row>
    <row r="1927" spans="1:4" x14ac:dyDescent="0.25">
      <c r="A1927" t="str">
        <f>T("   401290")</f>
        <v xml:space="preserve">   401290</v>
      </c>
      <c r="B1927" t="str">
        <f>T("   Bandages pleins ou creux [mi-pleins], bandes de roulement amovibles pour pneumatiques et flaps, en caoutchouc")</f>
        <v xml:space="preserve">   Bandages pleins ou creux [mi-pleins], bandes de roulement amovibles pour pneumatiques et flaps, en caoutchouc</v>
      </c>
      <c r="C1927">
        <v>16551591</v>
      </c>
      <c r="D1927">
        <v>43100</v>
      </c>
    </row>
    <row r="1928" spans="1:4" x14ac:dyDescent="0.25">
      <c r="A1928" t="str">
        <f>T("   401320")</f>
        <v xml:space="preserve">   401320</v>
      </c>
      <c r="B1928" t="str">
        <f>T("   Chambres à air, en caoutchouc, des types utilisés pour les bicyclettes")</f>
        <v xml:space="preserve">   Chambres à air, en caoutchouc, des types utilisés pour les bicyclettes</v>
      </c>
      <c r="C1928">
        <v>7900000</v>
      </c>
      <c r="D1928">
        <v>40120</v>
      </c>
    </row>
    <row r="1929" spans="1:4" x14ac:dyDescent="0.25">
      <c r="A1929" t="str">
        <f>T("   401390")</f>
        <v xml:space="preserve">   401390</v>
      </c>
      <c r="B1929" t="str">
        <f>T("   Chambres à air, en caoutchouc (à l'excl. des chambres à air des types utilisés pour les voitures de tourisme, les voitures du type 'break', les voitures de course, les autobus, les camions et les bicyclettes)")</f>
        <v xml:space="preserve">   Chambres à air, en caoutchouc (à l'excl. des chambres à air des types utilisés pour les voitures de tourisme, les voitures du type 'break', les voitures de course, les autobus, les camions et les bicyclettes)</v>
      </c>
      <c r="C1929">
        <v>74768332</v>
      </c>
      <c r="D1929">
        <v>233250</v>
      </c>
    </row>
    <row r="1930" spans="1:4" x14ac:dyDescent="0.25">
      <c r="A1930" t="str">
        <f>T("   401410")</f>
        <v xml:space="preserve">   401410</v>
      </c>
      <c r="B1930" t="str">
        <f>T("   Préservatifs en caoutchouc vulcanisé non durci")</f>
        <v xml:space="preserve">   Préservatifs en caoutchouc vulcanisé non durci</v>
      </c>
      <c r="C1930">
        <v>76141930</v>
      </c>
      <c r="D1930">
        <v>23193</v>
      </c>
    </row>
    <row r="1931" spans="1:4" x14ac:dyDescent="0.25">
      <c r="A1931" t="str">
        <f>T("   401490")</f>
        <v xml:space="preserve">   401490</v>
      </c>
      <c r="B1931" t="str">
        <f>T("   ARTICLES D'HYGIÈNE OU DE PHARMACIE, Y.C. LES TÉTINES, EN CAOUTCHOUC VULCANISÉ NON-DURCI, MÊME AVEC PARTIES EN CAOUTCHOUC DURCI, N.D.A. (À L'EXCL. DES PRÉSERVATIFS AINSI QUE DES VÊTEMENTS ET ACCESSOIRES DU VÊTEMENT, Y.C. LES GANTS, POUR TOUS USAGES)")</f>
        <v xml:space="preserve">   ARTICLES D'HYGIÈNE OU DE PHARMACIE, Y.C. LES TÉTINES, EN CAOUTCHOUC VULCANISÉ NON-DURCI, MÊME AVEC PARTIES EN CAOUTCHOUC DURCI, N.D.A. (À L'EXCL. DES PRÉSERVATIFS AINSI QUE DES VÊTEMENTS ET ACCESSOIRES DU VÊTEMENT, Y.C. LES GANTS, POUR TOUS USAGES)</v>
      </c>
      <c r="C1931">
        <v>320134</v>
      </c>
      <c r="D1931">
        <v>1200</v>
      </c>
    </row>
    <row r="1932" spans="1:4" x14ac:dyDescent="0.25">
      <c r="A1932" t="str">
        <f>T("   401519")</f>
        <v xml:space="preserve">   401519</v>
      </c>
      <c r="B1932" t="str">
        <f>T("   GANTS, MITAINES ET MOUFLES, EN CAOUTCHOUC VULCANISÉ NON-DURCI (À L'EXCL. DES GANTS POUR LA CHIRURGIE)")</f>
        <v xml:space="preserve">   GANTS, MITAINES ET MOUFLES, EN CAOUTCHOUC VULCANISÉ NON-DURCI (À L'EXCL. DES GANTS POUR LA CHIRURGIE)</v>
      </c>
      <c r="C1932">
        <v>126549</v>
      </c>
      <c r="D1932">
        <v>80</v>
      </c>
    </row>
    <row r="1933" spans="1:4" x14ac:dyDescent="0.25">
      <c r="A1933" t="str">
        <f>T("   401590")</f>
        <v xml:space="preserve">   401590</v>
      </c>
      <c r="B1933" t="str">
        <f>T("   Vêtements et accessoires du vêtement en caoutchouc vulcanisé non durci, pour tous usages (à l'excl. des gants, mitaines et moufles, des chaussures ou des coiffures ainsi que des parties de chaussures ou de coiffures)")</f>
        <v xml:space="preserve">   Vêtements et accessoires du vêtement en caoutchouc vulcanisé non durci, pour tous usages (à l'excl. des gants, mitaines et moufles, des chaussures ou des coiffures ainsi que des parties de chaussures ou de coiffures)</v>
      </c>
      <c r="C1933">
        <v>235394</v>
      </c>
      <c r="D1933">
        <v>883</v>
      </c>
    </row>
    <row r="1934" spans="1:4" x14ac:dyDescent="0.25">
      <c r="A1934" t="str">
        <f>T("   401691")</f>
        <v xml:space="preserve">   401691</v>
      </c>
      <c r="B1934" t="s">
        <v>159</v>
      </c>
      <c r="C1934">
        <v>17256600</v>
      </c>
      <c r="D1934">
        <v>3489</v>
      </c>
    </row>
    <row r="1935" spans="1:4" x14ac:dyDescent="0.25">
      <c r="A1935" t="str">
        <f>T("   401692")</f>
        <v xml:space="preserve">   401692</v>
      </c>
      <c r="B1935" t="str">
        <f>T("   Gommes à effacer, en caoutchouc vulcanisé non durci, prêtes à l'emploi (à l'excl. des articles simplement découpés de forme carrée ou rectangulaire)")</f>
        <v xml:space="preserve">   Gommes à effacer, en caoutchouc vulcanisé non durci, prêtes à l'emploi (à l'excl. des articles simplement découpés de forme carrée ou rectangulaire)</v>
      </c>
      <c r="C1935">
        <v>16256780</v>
      </c>
      <c r="D1935">
        <v>123240</v>
      </c>
    </row>
    <row r="1936" spans="1:4" x14ac:dyDescent="0.25">
      <c r="A1936" t="str">
        <f>T("   401693")</f>
        <v xml:space="preserve">   401693</v>
      </c>
      <c r="B1936" t="str">
        <f>T("   Joints en caoutchouc vulcanisé non durci (à l'excl. des articles en caoutchouc alvéolaire)")</f>
        <v xml:space="preserve">   Joints en caoutchouc vulcanisé non durci (à l'excl. des articles en caoutchouc alvéolaire)</v>
      </c>
      <c r="C1936">
        <v>1915403</v>
      </c>
      <c r="D1936">
        <v>103</v>
      </c>
    </row>
    <row r="1937" spans="1:4" x14ac:dyDescent="0.25">
      <c r="A1937" t="str">
        <f>T("   401699")</f>
        <v xml:space="preserve">   401699</v>
      </c>
      <c r="B1937" t="str">
        <f>T("   OUVRAGES EN CAOUTCHOUC VULCANISÉ NON-DURCI, N.D.A.")</f>
        <v xml:space="preserve">   OUVRAGES EN CAOUTCHOUC VULCANISÉ NON-DURCI, N.D.A.</v>
      </c>
      <c r="C1937">
        <v>2620893</v>
      </c>
      <c r="D1937">
        <v>6975</v>
      </c>
    </row>
    <row r="1938" spans="1:4" x14ac:dyDescent="0.25">
      <c r="A1938" t="str">
        <f>T("   401700")</f>
        <v xml:space="preserve">   401700</v>
      </c>
      <c r="B1938" t="str">
        <f>T("   CAOUTCHOUC DURCI [ÉBONITE, P.EX.], SOUS TOUTES FORMES, Y.C. LES DÉCHETS ET DÉBRIS; OUVRAGES EN CAOUTCHOUC DURCI, N.D.A.")</f>
        <v xml:space="preserve">   CAOUTCHOUC DURCI [ÉBONITE, P.EX.], SOUS TOUTES FORMES, Y.C. LES DÉCHETS ET DÉBRIS; OUVRAGES EN CAOUTCHOUC DURCI, N.D.A.</v>
      </c>
      <c r="C1938">
        <v>117245</v>
      </c>
      <c r="D1938">
        <v>2000</v>
      </c>
    </row>
    <row r="1939" spans="1:4" x14ac:dyDescent="0.25">
      <c r="A1939" t="str">
        <f>T("   420100")</f>
        <v xml:space="preserve">   420100</v>
      </c>
      <c r="B1939" t="s">
        <v>161</v>
      </c>
      <c r="C1939">
        <v>18335138</v>
      </c>
      <c r="D1939">
        <v>15000</v>
      </c>
    </row>
    <row r="1940" spans="1:4" x14ac:dyDescent="0.25">
      <c r="A1940" t="str">
        <f>T("   420211")</f>
        <v xml:space="preserve">   420211</v>
      </c>
      <c r="B1940" t="str">
        <f>T("   Malles, valises et mallettes, y.c. les mallettes de toilette et les mallettes porte-documents, serviettes, cartables et contenants simil., à surface extérieure en cuir naturel, en cuir reconstitué ou en cuir verni")</f>
        <v xml:space="preserve">   Malles, valises et mallettes, y.c. les mallettes de toilette et les mallettes porte-documents, serviettes, cartables et contenants simil., à surface extérieure en cuir naturel, en cuir reconstitué ou en cuir verni</v>
      </c>
      <c r="C1940">
        <v>5526407</v>
      </c>
      <c r="D1940">
        <v>10000</v>
      </c>
    </row>
    <row r="1941" spans="1:4" x14ac:dyDescent="0.25">
      <c r="A1941" t="str">
        <f>T("   420212")</f>
        <v xml:space="preserve">   420212</v>
      </c>
      <c r="B1941" t="str">
        <f>T("   Malles, valises et mallettes, y.c. les mallettes de toilette et les mallettes porte-documents, serviettes, cartables et contenants simil., à surface extérieure en matières plastiques ou en matières textiles")</f>
        <v xml:space="preserve">   Malles, valises et mallettes, y.c. les mallettes de toilette et les mallettes porte-documents, serviettes, cartables et contenants simil., à surface extérieure en matières plastiques ou en matières textiles</v>
      </c>
      <c r="C1941">
        <v>19404165</v>
      </c>
      <c r="D1941">
        <v>35889</v>
      </c>
    </row>
    <row r="1942" spans="1:4" x14ac:dyDescent="0.25">
      <c r="A1942" t="str">
        <f>T("   420219")</f>
        <v xml:space="preserve">   420219</v>
      </c>
      <c r="B1942" t="s">
        <v>162</v>
      </c>
      <c r="C1942">
        <v>232943829</v>
      </c>
      <c r="D1942">
        <v>986151</v>
      </c>
    </row>
    <row r="1943" spans="1:4" x14ac:dyDescent="0.25">
      <c r="A1943" t="str">
        <f>T("   420221")</f>
        <v xml:space="preserve">   420221</v>
      </c>
      <c r="B1943" t="str">
        <f>T("   Sacs à main, même à bandoulière, y.c. ceux sans poignée, à surface extérieure en cuir naturel, en cuir reconstitué ou en cuir verni")</f>
        <v xml:space="preserve">   Sacs à main, même à bandoulière, y.c. ceux sans poignée, à surface extérieure en cuir naturel, en cuir reconstitué ou en cuir verni</v>
      </c>
      <c r="C1943">
        <v>5000000</v>
      </c>
      <c r="D1943">
        <v>23620</v>
      </c>
    </row>
    <row r="1944" spans="1:4" x14ac:dyDescent="0.25">
      <c r="A1944" t="str">
        <f>T("   420222")</f>
        <v xml:space="preserve">   420222</v>
      </c>
      <c r="B1944" t="str">
        <f>T("   Sacs à main, même à bandoulière, y.c. ceux sans poignée, à surface extérieure en feuilles de matières plastiques ou en matières textiles")</f>
        <v xml:space="preserve">   Sacs à main, même à bandoulière, y.c. ceux sans poignée, à surface extérieure en feuilles de matières plastiques ou en matières textiles</v>
      </c>
      <c r="C1944">
        <v>78316710</v>
      </c>
      <c r="D1944">
        <v>284263</v>
      </c>
    </row>
    <row r="1945" spans="1:4" x14ac:dyDescent="0.25">
      <c r="A1945" t="str">
        <f>T("   420229")</f>
        <v xml:space="preserve">   420229</v>
      </c>
      <c r="B1945"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1945">
        <v>715822193</v>
      </c>
      <c r="D1945">
        <v>2346844</v>
      </c>
    </row>
    <row r="1946" spans="1:4" x14ac:dyDescent="0.25">
      <c r="A1946" t="str">
        <f>T("   420231")</f>
        <v xml:space="preserve">   420231</v>
      </c>
      <c r="B1946" t="str">
        <f>T("   Portefeuilles, porte-monnaie, étuis à clés ou à cigarettes, blagues à tabac et articles simil. de poche ou de sac à main, à surface extérieure en cuir naturel, en cuir reconstitué ou en cuir verni")</f>
        <v xml:space="preserve">   Portefeuilles, porte-monnaie, étuis à clés ou à cigarettes, blagues à tabac et articles simil. de poche ou de sac à main, à surface extérieure en cuir naturel, en cuir reconstitué ou en cuir verni</v>
      </c>
      <c r="C1946">
        <v>3175000</v>
      </c>
      <c r="D1946">
        <v>11196</v>
      </c>
    </row>
    <row r="1947" spans="1:4" x14ac:dyDescent="0.25">
      <c r="A1947" t="str">
        <f>T("   420232")</f>
        <v xml:space="preserve">   420232</v>
      </c>
      <c r="B1947" t="str">
        <f>T("   Portefeuilles, porte-monnaie, étuis à clés ou à cigarettes, blagues à tabac et articles simil. de poche ou de sac à main, à surface extérieure en feuilles de matières plastiques ou en matières textiles")</f>
        <v xml:space="preserve">   Portefeuilles, porte-monnaie, étuis à clés ou à cigarettes, blagues à tabac et articles simil. de poche ou de sac à main, à surface extérieure en feuilles de matières plastiques ou en matières textiles</v>
      </c>
      <c r="C1947">
        <v>59201</v>
      </c>
      <c r="D1947">
        <v>440</v>
      </c>
    </row>
    <row r="1948" spans="1:4" x14ac:dyDescent="0.25">
      <c r="A1948" t="str">
        <f>T("   420239")</f>
        <v xml:space="preserve">   420239</v>
      </c>
      <c r="B1948" t="s">
        <v>163</v>
      </c>
      <c r="C1948">
        <v>21155540</v>
      </c>
      <c r="D1948">
        <v>93417</v>
      </c>
    </row>
    <row r="1949" spans="1:4" x14ac:dyDescent="0.25">
      <c r="A1949" t="str">
        <f>T("   420291")</f>
        <v xml:space="preserve">   420291</v>
      </c>
      <c r="B1949" t="s">
        <v>164</v>
      </c>
      <c r="C1949">
        <v>22258100</v>
      </c>
      <c r="D1949">
        <v>87083</v>
      </c>
    </row>
    <row r="1950" spans="1:4" x14ac:dyDescent="0.25">
      <c r="A1950" t="str">
        <f>T("   420292")</f>
        <v xml:space="preserve">   420292</v>
      </c>
      <c r="B1950" t="s">
        <v>164</v>
      </c>
      <c r="C1950">
        <v>85463924</v>
      </c>
      <c r="D1950">
        <v>278620</v>
      </c>
    </row>
    <row r="1951" spans="1:4" x14ac:dyDescent="0.25">
      <c r="A1951" t="str">
        <f>T("   420299")</f>
        <v xml:space="preserve">   420299</v>
      </c>
      <c r="B1951" t="s">
        <v>165</v>
      </c>
      <c r="C1951">
        <v>92489959</v>
      </c>
      <c r="D1951">
        <v>379587</v>
      </c>
    </row>
    <row r="1952" spans="1:4" x14ac:dyDescent="0.25">
      <c r="A1952" t="str">
        <f>T("   420330")</f>
        <v xml:space="preserve">   420330</v>
      </c>
      <c r="B1952" t="str">
        <f>T("   Ceintures, ceinturons et baudriers, en cuir naturel ou reconstitué")</f>
        <v xml:space="preserve">   Ceintures, ceinturons et baudriers, en cuir naturel ou reconstitué</v>
      </c>
      <c r="C1952">
        <v>6423291</v>
      </c>
      <c r="D1952">
        <v>22622</v>
      </c>
    </row>
    <row r="1953" spans="1:4" x14ac:dyDescent="0.25">
      <c r="A1953" t="str">
        <f>T("   420340")</f>
        <v xml:space="preserve">   420340</v>
      </c>
      <c r="B1953" t="s">
        <v>166</v>
      </c>
      <c r="C1953">
        <v>533517</v>
      </c>
      <c r="D1953">
        <v>120</v>
      </c>
    </row>
    <row r="1954" spans="1:4" x14ac:dyDescent="0.25">
      <c r="A1954" t="str">
        <f>T("   420500")</f>
        <v xml:space="preserve">   420500</v>
      </c>
      <c r="B1954" t="s">
        <v>167</v>
      </c>
      <c r="C1954">
        <v>151388</v>
      </c>
      <c r="D1954">
        <v>263</v>
      </c>
    </row>
    <row r="1955" spans="1:4" x14ac:dyDescent="0.25">
      <c r="A1955" t="str">
        <f>T("   430400")</f>
        <v xml:space="preserve">   430400</v>
      </c>
      <c r="B1955" t="s">
        <v>168</v>
      </c>
      <c r="C1955">
        <v>1032841</v>
      </c>
      <c r="D1955">
        <v>4422</v>
      </c>
    </row>
    <row r="1956" spans="1:4" x14ac:dyDescent="0.25">
      <c r="A1956" t="str">
        <f>T("   440729")</f>
        <v xml:space="preserve">   440729</v>
      </c>
      <c r="B1956" t="s">
        <v>170</v>
      </c>
      <c r="C1956">
        <v>1000000</v>
      </c>
      <c r="D1956">
        <v>9230</v>
      </c>
    </row>
    <row r="1957" spans="1:4" x14ac:dyDescent="0.25">
      <c r="A1957" t="str">
        <f>T("   440839")</f>
        <v xml:space="preserve">   440839</v>
      </c>
      <c r="B1957" t="s">
        <v>172</v>
      </c>
      <c r="C1957">
        <v>580013</v>
      </c>
      <c r="D1957">
        <v>6000</v>
      </c>
    </row>
    <row r="1958" spans="1:4" x14ac:dyDescent="0.25">
      <c r="A1958" t="str">
        <f>T("   440890")</f>
        <v xml:space="preserve">   440890</v>
      </c>
      <c r="B1958" t="s">
        <v>172</v>
      </c>
      <c r="C1958">
        <v>7895331</v>
      </c>
      <c r="D1958">
        <v>31500</v>
      </c>
    </row>
    <row r="1959" spans="1:4" x14ac:dyDescent="0.25">
      <c r="A1959" t="str">
        <f>T("   441090")</f>
        <v xml:space="preserve">   441090</v>
      </c>
      <c r="B1959" t="s">
        <v>175</v>
      </c>
      <c r="C1959">
        <v>400000</v>
      </c>
      <c r="D1959">
        <v>2140</v>
      </c>
    </row>
    <row r="1960" spans="1:4" x14ac:dyDescent="0.25">
      <c r="A1960" t="str">
        <f>T("   441119")</f>
        <v xml:space="preserve">   441119</v>
      </c>
      <c r="B1960" t="s">
        <v>177</v>
      </c>
      <c r="C1960">
        <v>13172037</v>
      </c>
      <c r="D1960">
        <v>25873</v>
      </c>
    </row>
    <row r="1961" spans="1:4" x14ac:dyDescent="0.25">
      <c r="A1961" t="str">
        <f>T("   441121")</f>
        <v xml:space="preserve">   441121</v>
      </c>
      <c r="B1961" t="s">
        <v>178</v>
      </c>
      <c r="C1961">
        <v>655000</v>
      </c>
      <c r="D1961">
        <v>1400</v>
      </c>
    </row>
    <row r="1962" spans="1:4" x14ac:dyDescent="0.25">
      <c r="A1962" t="str">
        <f>T("   441199")</f>
        <v xml:space="preserve">   441199</v>
      </c>
      <c r="B1962" t="s">
        <v>181</v>
      </c>
      <c r="C1962">
        <v>1613662</v>
      </c>
      <c r="D1962">
        <v>9893</v>
      </c>
    </row>
    <row r="1963" spans="1:4" x14ac:dyDescent="0.25">
      <c r="A1963" t="str">
        <f>T("   441219")</f>
        <v xml:space="preserve">   441219</v>
      </c>
      <c r="B1963" t="s">
        <v>183</v>
      </c>
      <c r="C1963">
        <v>173320621</v>
      </c>
      <c r="D1963">
        <v>565210</v>
      </c>
    </row>
    <row r="1964" spans="1:4" x14ac:dyDescent="0.25">
      <c r="A1964" t="str">
        <f>T("   441229")</f>
        <v xml:space="preserve">   441229</v>
      </c>
      <c r="B1964" t="s">
        <v>185</v>
      </c>
      <c r="C1964">
        <v>521173</v>
      </c>
      <c r="D1964">
        <v>1880</v>
      </c>
    </row>
    <row r="1965" spans="1:4" x14ac:dyDescent="0.25">
      <c r="A1965" t="str">
        <f>T("   441400")</f>
        <v xml:space="preserve">   441400</v>
      </c>
      <c r="B1965" t="str">
        <f>T("   Cadres en bois pour tableaux, photographies, miroirs ou objets simil.")</f>
        <v xml:space="preserve">   Cadres en bois pour tableaux, photographies, miroirs ou objets simil.</v>
      </c>
      <c r="C1965">
        <v>17795903</v>
      </c>
      <c r="D1965">
        <v>79122</v>
      </c>
    </row>
    <row r="1966" spans="1:4" x14ac:dyDescent="0.25">
      <c r="A1966" t="str">
        <f>T("   441510")</f>
        <v xml:space="preserve">   441510</v>
      </c>
      <c r="B1966" t="str">
        <f>T("   Caisses, caissettes, cageots, cylindres et emballages simil., en bois; tambours [tourets] pour câbles, en bois")</f>
        <v xml:space="preserve">   Caisses, caissettes, cageots, cylindres et emballages simil., en bois; tambours [tourets] pour câbles, en bois</v>
      </c>
      <c r="C1966">
        <v>2995000</v>
      </c>
      <c r="D1966">
        <v>1230</v>
      </c>
    </row>
    <row r="1967" spans="1:4" x14ac:dyDescent="0.25">
      <c r="A1967" t="str">
        <f>T("   441520")</f>
        <v xml:space="preserve">   441520</v>
      </c>
      <c r="B1967" t="str">
        <f>T("   Palettes simples, palettes-caisses et autres plateaux de chargement, en bois; rehausses de palettes en bois (à l'excl. des cadres et conteneurs spécialement conçus et équipés pour un ou plusieurs modes de transport)")</f>
        <v xml:space="preserve">   Palettes simples, palettes-caisses et autres plateaux de chargement, en bois; rehausses de palettes en bois (à l'excl. des cadres et conteneurs spécialement conçus et équipés pour un ou plusieurs modes de transport)</v>
      </c>
      <c r="C1967">
        <v>319851</v>
      </c>
      <c r="D1967">
        <v>680</v>
      </c>
    </row>
    <row r="1968" spans="1:4" x14ac:dyDescent="0.25">
      <c r="A1968" t="str">
        <f>T("   441810")</f>
        <v xml:space="preserve">   441810</v>
      </c>
      <c r="B1968" t="str">
        <f>T("   Fenêtres, portes-fenêtres et leurs cadres et chambranles, en bois")</f>
        <v xml:space="preserve">   Fenêtres, portes-fenêtres et leurs cadres et chambranles, en bois</v>
      </c>
      <c r="C1968">
        <v>3623268</v>
      </c>
      <c r="D1968">
        <v>5354</v>
      </c>
    </row>
    <row r="1969" spans="1:4" x14ac:dyDescent="0.25">
      <c r="A1969" t="str">
        <f>T("   441820")</f>
        <v xml:space="preserve">   441820</v>
      </c>
      <c r="B1969" t="str">
        <f>T("   Portes et leurs cadres, chambranles et seuils, en bois")</f>
        <v xml:space="preserve">   Portes et leurs cadres, chambranles et seuils, en bois</v>
      </c>
      <c r="C1969">
        <v>36153670</v>
      </c>
      <c r="D1969">
        <v>88747</v>
      </c>
    </row>
    <row r="1970" spans="1:4" x14ac:dyDescent="0.25">
      <c r="A1970" t="str">
        <f>T("   441890")</f>
        <v xml:space="preserve">   441890</v>
      </c>
      <c r="B1970" t="s">
        <v>188</v>
      </c>
      <c r="C1970">
        <v>3855664</v>
      </c>
      <c r="D1970">
        <v>5403</v>
      </c>
    </row>
    <row r="1971" spans="1:4" x14ac:dyDescent="0.25">
      <c r="A1971" t="str">
        <f>T("   441900")</f>
        <v xml:space="preserve">   441900</v>
      </c>
      <c r="B1971" t="s">
        <v>189</v>
      </c>
      <c r="C1971">
        <v>8684329</v>
      </c>
      <c r="D1971">
        <v>31753</v>
      </c>
    </row>
    <row r="1972" spans="1:4" x14ac:dyDescent="0.25">
      <c r="A1972" t="str">
        <f>T("   442090")</f>
        <v xml:space="preserve">   442090</v>
      </c>
      <c r="B1972" t="s">
        <v>190</v>
      </c>
      <c r="C1972">
        <v>2306350</v>
      </c>
      <c r="D1972">
        <v>3702</v>
      </c>
    </row>
    <row r="1973" spans="1:4" x14ac:dyDescent="0.25">
      <c r="A1973" t="str">
        <f>T("   442110")</f>
        <v xml:space="preserve">   442110</v>
      </c>
      <c r="B1973" t="str">
        <f>T("   Cintres pour vêtements, en bois")</f>
        <v xml:space="preserve">   Cintres pour vêtements, en bois</v>
      </c>
      <c r="C1973">
        <v>4455980</v>
      </c>
      <c r="D1973">
        <v>14777</v>
      </c>
    </row>
    <row r="1974" spans="1:4" x14ac:dyDescent="0.25">
      <c r="A1974" t="str">
        <f>T("   442190")</f>
        <v xml:space="preserve">   442190</v>
      </c>
      <c r="B1974" t="str">
        <f>T("   Ouvrages, en bois, n.d.a.")</f>
        <v xml:space="preserve">   Ouvrages, en bois, n.d.a.</v>
      </c>
      <c r="C1974">
        <v>11355329</v>
      </c>
      <c r="D1974">
        <v>59551</v>
      </c>
    </row>
    <row r="1975" spans="1:4" x14ac:dyDescent="0.25">
      <c r="A1975" t="str">
        <f>T("   460120")</f>
        <v xml:space="preserve">   460120</v>
      </c>
      <c r="B1975" t="str">
        <f>T("   Nattes, paillassons et claies en matières à tresser végétales, tissés ou parallélisés, à plat")</f>
        <v xml:space="preserve">   Nattes, paillassons et claies en matières à tresser végétales, tissés ou parallélisés, à plat</v>
      </c>
      <c r="C1975">
        <v>10034534</v>
      </c>
      <c r="D1975">
        <v>55680</v>
      </c>
    </row>
    <row r="1976" spans="1:4" x14ac:dyDescent="0.25">
      <c r="A1976" t="str">
        <f>T("   460199")</f>
        <v xml:space="preserve">   460199</v>
      </c>
      <c r="B1976" t="str">
        <f>T("   MATIÈRES À TRESSER, TRESSES ET ARTICLES SIMIL., EN MATIÈRES À TRESSER NON-VÉGÉTALES, TISSÉS OU PARALLÉLISÉS, À PLAT (À L'EXCL. DES REVÊTEMENTS MURAUX DU N° 4814 AINSI QUE DES PARTIES DE CHAUSSURES OU DE COIFFURES)")</f>
        <v xml:space="preserve">   MATIÈRES À TRESSER, TRESSES ET ARTICLES SIMIL., EN MATIÈRES À TRESSER NON-VÉGÉTALES, TISSÉS OU PARALLÉLISÉS, À PLAT (À L'EXCL. DES REVÊTEMENTS MURAUX DU N° 4814 AINSI QUE DES PARTIES DE CHAUSSURES OU DE COIFFURES)</v>
      </c>
      <c r="C1976">
        <v>41259444</v>
      </c>
      <c r="D1976">
        <v>144075</v>
      </c>
    </row>
    <row r="1977" spans="1:4" x14ac:dyDescent="0.25">
      <c r="A1977" t="str">
        <f>T("   460290")</f>
        <v xml:space="preserve">   460290</v>
      </c>
      <c r="B1977" t="s">
        <v>192</v>
      </c>
      <c r="C1977">
        <v>12577137</v>
      </c>
      <c r="D1977">
        <v>33882</v>
      </c>
    </row>
    <row r="1978" spans="1:4" x14ac:dyDescent="0.25">
      <c r="A1978" t="str">
        <f>T("   480100")</f>
        <v xml:space="preserve">   480100</v>
      </c>
      <c r="B1978" t="str">
        <f>T("   Papier journal, en rouleaux d'une largeur &gt; 36 cm ou en feuilles de forme carrée ou rectangulaire dont au moins un coté &gt; 36 cm et l'autre &gt; 15 cm à l'état non plié")</f>
        <v xml:space="preserve">   Papier journal, en rouleaux d'une largeur &gt; 36 cm ou en feuilles de forme carrée ou rectangulaire dont au moins un coté &gt; 36 cm et l'autre &gt; 15 cm à l'état non plié</v>
      </c>
      <c r="C1978">
        <v>1075264</v>
      </c>
      <c r="D1978">
        <v>10760</v>
      </c>
    </row>
    <row r="1979" spans="1:4" x14ac:dyDescent="0.25">
      <c r="A1979" t="str">
        <f>T("   480210")</f>
        <v xml:space="preserve">   480210</v>
      </c>
      <c r="B1979" t="str">
        <f>T("   Papiers et cartons formés feuille à feuille [papiers à la main], de tout format et de toute forme")</f>
        <v xml:space="preserve">   Papiers et cartons formés feuille à feuille [papiers à la main], de tout format et de toute forme</v>
      </c>
      <c r="C1979">
        <v>6000000</v>
      </c>
      <c r="D1979">
        <v>19460</v>
      </c>
    </row>
    <row r="1980" spans="1:4" x14ac:dyDescent="0.25">
      <c r="A1980" t="str">
        <f>T("   480261")</f>
        <v xml:space="preserve">   480261</v>
      </c>
      <c r="B1980" t="s">
        <v>197</v>
      </c>
      <c r="C1980">
        <v>1500000</v>
      </c>
      <c r="D1980">
        <v>3200</v>
      </c>
    </row>
    <row r="1981" spans="1:4" x14ac:dyDescent="0.25">
      <c r="A1981" t="str">
        <f>T("   480269")</f>
        <v xml:space="preserve">   480269</v>
      </c>
      <c r="B1981" t="s">
        <v>195</v>
      </c>
      <c r="C1981">
        <v>44836146</v>
      </c>
      <c r="D1981">
        <v>328096</v>
      </c>
    </row>
    <row r="1982" spans="1:4" x14ac:dyDescent="0.25">
      <c r="A1982" t="str">
        <f>T("   480300")</f>
        <v xml:space="preserve">   480300</v>
      </c>
      <c r="B1982" t="s">
        <v>198</v>
      </c>
      <c r="C1982">
        <v>252793046</v>
      </c>
      <c r="D1982">
        <v>1315723</v>
      </c>
    </row>
    <row r="1983" spans="1:4" x14ac:dyDescent="0.25">
      <c r="A1983" t="str">
        <f>T("   480429")</f>
        <v xml:space="preserve">   480429</v>
      </c>
      <c r="B1983" t="str">
        <f>T("   PAPIERS KRAFT POUR SACS DE GRANDE CONTENANCE, NON-COUCHÉS NI ENDUITS, EN ROULEAUX D'UNE LARGEUR &gt; 36 CM (À L'EXCL. DES PAPIERS ÉCRUS AINSI QUE DES ARTICLES DU N° 4802, 4803 OU 4808)")</f>
        <v xml:space="preserve">   PAPIERS KRAFT POUR SACS DE GRANDE CONTENANCE, NON-COUCHÉS NI ENDUITS, EN ROULEAUX D'UNE LARGEUR &gt; 36 CM (À L'EXCL. DES PAPIERS ÉCRUS AINSI QUE DES ARTICLES DU N° 4802, 4803 OU 4808)</v>
      </c>
      <c r="C1983">
        <v>771274</v>
      </c>
      <c r="D1983">
        <v>1300</v>
      </c>
    </row>
    <row r="1984" spans="1:4" x14ac:dyDescent="0.25">
      <c r="A1984" t="str">
        <f>T("   480449")</f>
        <v xml:space="preserve">   480449</v>
      </c>
      <c r="B1984" t="s">
        <v>201</v>
      </c>
      <c r="C1984">
        <v>570809</v>
      </c>
      <c r="D1984">
        <v>755</v>
      </c>
    </row>
    <row r="1985" spans="1:4" x14ac:dyDescent="0.25">
      <c r="A1985" t="str">
        <f>T("   480459")</f>
        <v xml:space="preserve">   480459</v>
      </c>
      <c r="B1985" t="s">
        <v>202</v>
      </c>
      <c r="C1985">
        <v>263771</v>
      </c>
      <c r="D1985">
        <v>900</v>
      </c>
    </row>
    <row r="1986" spans="1:4" x14ac:dyDescent="0.25">
      <c r="A1986" t="str">
        <f>T("   480810")</f>
        <v xml:space="preserve">   480810</v>
      </c>
      <c r="B1986" t="str">
        <f>T("   Papiers et cartons ondulés, même avec recouvrement par collage, même perforés, en rouleaux d'une largeur &gt; 36 cm ou en feuilles de forme carrée ou rectangulaire dont au moins un coté &gt; 36 cm et l'autre &gt; 15 cm à l'état non plié")</f>
        <v xml:space="preserve">   Papiers et cartons ondulés, même avec recouvrement par collage, même perforés, en rouleaux d'une largeur &gt; 36 cm ou en feuilles de forme carrée ou rectangulaire dont au moins un coté &gt; 36 cm et l'autre &gt; 15 cm à l'état non plié</v>
      </c>
      <c r="C1986">
        <v>112000</v>
      </c>
      <c r="D1986">
        <v>70</v>
      </c>
    </row>
    <row r="1987" spans="1:4" x14ac:dyDescent="0.25">
      <c r="A1987" t="str">
        <f>T("   480890")</f>
        <v xml:space="preserve">   480890</v>
      </c>
      <c r="B1987" t="s">
        <v>205</v>
      </c>
      <c r="C1987">
        <v>7910000</v>
      </c>
      <c r="D1987">
        <v>49756</v>
      </c>
    </row>
    <row r="1988" spans="1:4" x14ac:dyDescent="0.25">
      <c r="A1988" t="str">
        <f>T("   480920")</f>
        <v xml:space="preserve">   480920</v>
      </c>
      <c r="B1988" t="str">
        <f>T("   PAPIERS DITS 'AUTOCOPIANTS', MÊME IMPRIMÉS, EN ROULEAUX D'UNE LARGEUR &gt; 36 CM OU EN FEUILLES DE FORME CARRÉE OU RECTANGULAIRE DONT UN CÔTÉ AU MOINS &gt; 36 CM À L'ÉTAT NON-PLIÉ (À L'EXCL. DES PAPIERS CARBONE ET DES PAPIERS SIMIL.)")</f>
        <v xml:space="preserve">   PAPIERS DITS 'AUTOCOPIANTS', MÊME IMPRIMÉS, EN ROULEAUX D'UNE LARGEUR &gt; 36 CM OU EN FEUILLES DE FORME CARRÉE OU RECTANGULAIRE DONT UN CÔTÉ AU MOINS &gt; 36 CM À L'ÉTAT NON-PLIÉ (À L'EXCL. DES PAPIERS CARBONE ET DES PAPIERS SIMIL.)</v>
      </c>
      <c r="C1988">
        <v>47776087</v>
      </c>
      <c r="D1988">
        <v>70592</v>
      </c>
    </row>
    <row r="1989" spans="1:4" x14ac:dyDescent="0.25">
      <c r="A1989" t="str">
        <f>T("   480990")</f>
        <v xml:space="preserve">   480990</v>
      </c>
      <c r="B1989" t="s">
        <v>206</v>
      </c>
      <c r="C1989">
        <v>2250000</v>
      </c>
      <c r="D1989">
        <v>24000</v>
      </c>
    </row>
    <row r="1990" spans="1:4" x14ac:dyDescent="0.25">
      <c r="A1990" t="str">
        <f>T("   481019")</f>
        <v xml:space="preserve">   481019</v>
      </c>
      <c r="B1990" t="s">
        <v>208</v>
      </c>
      <c r="C1990">
        <v>3000000</v>
      </c>
      <c r="D1990">
        <v>21340</v>
      </c>
    </row>
    <row r="1991" spans="1:4" x14ac:dyDescent="0.25">
      <c r="A1991" t="str">
        <f>T("   481029")</f>
        <v xml:space="preserve">   481029</v>
      </c>
      <c r="B1991" t="s">
        <v>209</v>
      </c>
      <c r="C1991">
        <v>3952716</v>
      </c>
      <c r="D1991">
        <v>16265</v>
      </c>
    </row>
    <row r="1992" spans="1:4" x14ac:dyDescent="0.25">
      <c r="A1992" t="str">
        <f>T("   481099")</f>
        <v xml:space="preserve">   481099</v>
      </c>
      <c r="B1992" t="s">
        <v>211</v>
      </c>
      <c r="C1992">
        <v>24146379</v>
      </c>
      <c r="D1992">
        <v>69704</v>
      </c>
    </row>
    <row r="1993" spans="1:4" x14ac:dyDescent="0.25">
      <c r="A1993" t="str">
        <f>T("   481110")</f>
        <v xml:space="preserve">   481110</v>
      </c>
      <c r="B1993" t="str">
        <f>T("   Papiers et cartons goudronnés, bitumés ou asphaltés, en rouleaux ou en feuilles de forme carrée ou rectangulaire, de tout format")</f>
        <v xml:space="preserve">   Papiers et cartons goudronnés, bitumés ou asphaltés, en rouleaux ou en feuilles de forme carrée ou rectangulaire, de tout format</v>
      </c>
      <c r="C1993">
        <v>1078538</v>
      </c>
      <c r="D1993">
        <v>3681</v>
      </c>
    </row>
    <row r="1994" spans="1:4" x14ac:dyDescent="0.25">
      <c r="A1994" t="str">
        <f>T("   481141")</f>
        <v xml:space="preserve">   481141</v>
      </c>
      <c r="B1994" t="str">
        <f>T("   Papiers et cartons, auto-adhésifs, coloriés en surface, décorés en surface ou imprimés, en rouleaux ou en feuilles de forme carrée ou rectangulaire, de tout format (à l'excl. des produits du n° 4810)")</f>
        <v xml:space="preserve">   Papiers et cartons, auto-adhésifs, coloriés en surface, décorés en surface ou imprimés, en rouleaux ou en feuilles de forme carrée ou rectangulaire, de tout format (à l'excl. des produits du n° 4810)</v>
      </c>
      <c r="C1994">
        <v>5547431</v>
      </c>
      <c r="D1994">
        <v>8643</v>
      </c>
    </row>
    <row r="1995" spans="1:4" x14ac:dyDescent="0.25">
      <c r="A1995" t="str">
        <f>T("   481149")</f>
        <v xml:space="preserve">   481149</v>
      </c>
      <c r="B1995" t="str">
        <f>T("   Papiers et cartons gommés ou adhésifs, coloriés en surface, décorés en surface ou imprimés, en rouleaux ou en feuilles de forme carrée ou rectangulaire, de tout format (à l'excl. des papiers et cartons auto-adhésifs ainsi que des produits du n° 4810)")</f>
        <v xml:space="preserve">   Papiers et cartons gommés ou adhésifs, coloriés en surface, décorés en surface ou imprimés, en rouleaux ou en feuilles de forme carrée ou rectangulaire, de tout format (à l'excl. des papiers et cartons auto-adhésifs ainsi que des produits du n° 4810)</v>
      </c>
      <c r="C1995">
        <v>91205</v>
      </c>
      <c r="D1995">
        <v>80</v>
      </c>
    </row>
    <row r="1996" spans="1:4" x14ac:dyDescent="0.25">
      <c r="A1996" t="str">
        <f>T("   481420")</f>
        <v xml:space="preserve">   481420</v>
      </c>
      <c r="B1996" t="str">
        <f>T("   Papiers peints et revêtements muraux simil., constitués par du papier enduit ou recouvert, sur l'endroit, d'une couche de matière plastique grainée, gaufrée, coloriée, imprimée de motifs ou autrement décorée")</f>
        <v xml:space="preserve">   Papiers peints et revêtements muraux simil., constitués par du papier enduit ou recouvert, sur l'endroit, d'une couche de matière plastique grainée, gaufrée, coloriée, imprimée de motifs ou autrement décorée</v>
      </c>
      <c r="C1996">
        <v>416555</v>
      </c>
      <c r="D1996">
        <v>2441</v>
      </c>
    </row>
    <row r="1997" spans="1:4" x14ac:dyDescent="0.25">
      <c r="A1997" t="str">
        <f>T("   481490")</f>
        <v xml:space="preserve">   481490</v>
      </c>
      <c r="B1997" t="s">
        <v>213</v>
      </c>
      <c r="C1997">
        <v>559358</v>
      </c>
      <c r="D1997">
        <v>2791</v>
      </c>
    </row>
    <row r="1998" spans="1:4" x14ac:dyDescent="0.25">
      <c r="A1998" t="str">
        <f>T("   481690")</f>
        <v xml:space="preserve">   481690</v>
      </c>
      <c r="B1998" t="s">
        <v>215</v>
      </c>
      <c r="C1998">
        <v>5650000</v>
      </c>
      <c r="D1998">
        <v>25650</v>
      </c>
    </row>
    <row r="1999" spans="1:4" x14ac:dyDescent="0.25">
      <c r="A1999" t="str">
        <f>T("   481810")</f>
        <v xml:space="preserve">   481810</v>
      </c>
      <c r="B1999" t="str">
        <f>T("   Papier hygiénique, en rouleaux d'une largeur &lt;= 36 cm")</f>
        <v xml:space="preserve">   Papier hygiénique, en rouleaux d'une largeur &lt;= 36 cm</v>
      </c>
      <c r="C1999">
        <v>71272513</v>
      </c>
      <c r="D1999">
        <v>269661</v>
      </c>
    </row>
    <row r="2000" spans="1:4" x14ac:dyDescent="0.25">
      <c r="A2000" t="str">
        <f>T("   481820")</f>
        <v xml:space="preserve">   481820</v>
      </c>
      <c r="B2000" t="str">
        <f>T("   Mouchoirs, serviettes à démaquiller et essuie-mains, en pâte à papier, papier, ouate de cellulose ou nappes de fibres de cellulose")</f>
        <v xml:space="preserve">   Mouchoirs, serviettes à démaquiller et essuie-mains, en pâte à papier, papier, ouate de cellulose ou nappes de fibres de cellulose</v>
      </c>
      <c r="C2000">
        <v>9431369</v>
      </c>
      <c r="D2000">
        <v>51978</v>
      </c>
    </row>
    <row r="2001" spans="1:4" x14ac:dyDescent="0.25">
      <c r="A2001" t="str">
        <f>T("   481840")</f>
        <v xml:space="preserve">   481840</v>
      </c>
      <c r="B2001"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2001">
        <v>161561381</v>
      </c>
      <c r="D2001">
        <v>433474</v>
      </c>
    </row>
    <row r="2002" spans="1:4" x14ac:dyDescent="0.25">
      <c r="A2002" t="str">
        <f>T("   481890")</f>
        <v xml:space="preserve">   481890</v>
      </c>
      <c r="B2002" t="s">
        <v>217</v>
      </c>
      <c r="C2002">
        <v>2285288</v>
      </c>
      <c r="D2002">
        <v>2976</v>
      </c>
    </row>
    <row r="2003" spans="1:4" x14ac:dyDescent="0.25">
      <c r="A2003" t="str">
        <f>T("   481910")</f>
        <v xml:space="preserve">   481910</v>
      </c>
      <c r="B2003" t="str">
        <f>T("   Boîtes et caisses en papier ou en carton ondulé")</f>
        <v xml:space="preserve">   Boîtes et caisses en papier ou en carton ondulé</v>
      </c>
      <c r="C2003">
        <v>83769240</v>
      </c>
      <c r="D2003">
        <v>269707</v>
      </c>
    </row>
    <row r="2004" spans="1:4" x14ac:dyDescent="0.25">
      <c r="A2004" t="str">
        <f>T("   481920")</f>
        <v xml:space="preserve">   481920</v>
      </c>
      <c r="B2004" t="str">
        <f>T("   Boîtes et cartonnages, pliants, en papier ou en carton non ondulé")</f>
        <v xml:space="preserve">   Boîtes et cartonnages, pliants, en papier ou en carton non ondulé</v>
      </c>
      <c r="C2004">
        <v>3538242</v>
      </c>
      <c r="D2004">
        <v>6554</v>
      </c>
    </row>
    <row r="2005" spans="1:4" x14ac:dyDescent="0.25">
      <c r="A2005" t="str">
        <f>T("   481950")</f>
        <v xml:space="preserve">   481950</v>
      </c>
      <c r="B2005" t="s">
        <v>218</v>
      </c>
      <c r="C2005">
        <v>61563947</v>
      </c>
      <c r="D2005">
        <v>341403</v>
      </c>
    </row>
    <row r="2006" spans="1:4" x14ac:dyDescent="0.25">
      <c r="A2006" t="str">
        <f>T("   481960")</f>
        <v xml:space="preserve">   481960</v>
      </c>
      <c r="B2006" t="str">
        <f>T("   Cartonnages de bureau, de magasin ou simil., rigides (à l'excl. des emballages)")</f>
        <v xml:space="preserve">   Cartonnages de bureau, de magasin ou simil., rigides (à l'excl. des emballages)</v>
      </c>
      <c r="C2006">
        <v>3946503</v>
      </c>
      <c r="D2006">
        <v>9306</v>
      </c>
    </row>
    <row r="2007" spans="1:4" x14ac:dyDescent="0.25">
      <c r="A2007" t="str">
        <f>T("   482010")</f>
        <v xml:space="preserve">   482010</v>
      </c>
      <c r="B2007" t="str">
        <f>T("   Registres, livres comptables, carnets de notes, de commandes ou de quittances, blocs-mémorandums, blocs de papier à lettres, agendas et ouvrages simil., en papier ou carton")</f>
        <v xml:space="preserve">   Registres, livres comptables, carnets de notes, de commandes ou de quittances, blocs-mémorandums, blocs de papier à lettres, agendas et ouvrages simil., en papier ou carton</v>
      </c>
      <c r="C2007">
        <v>24860442</v>
      </c>
      <c r="D2007">
        <v>46697.7</v>
      </c>
    </row>
    <row r="2008" spans="1:4" x14ac:dyDescent="0.25">
      <c r="A2008" t="str">
        <f>T("   482020")</f>
        <v xml:space="preserve">   482020</v>
      </c>
      <c r="B2008" t="str">
        <f>T("   Cahiers pour l'écriture, en papier ou carton")</f>
        <v xml:space="preserve">   Cahiers pour l'écriture, en papier ou carton</v>
      </c>
      <c r="C2008">
        <v>135543723</v>
      </c>
      <c r="D2008">
        <v>613992</v>
      </c>
    </row>
    <row r="2009" spans="1:4" x14ac:dyDescent="0.25">
      <c r="A2009" t="str">
        <f>T("   482030")</f>
        <v xml:space="preserve">   482030</v>
      </c>
      <c r="B2009" t="str">
        <f>T("   Classeurs, reliures (autres que les couvertures pour livres), chemises et couvertures à dossiers, en papier ou en carton")</f>
        <v xml:space="preserve">   Classeurs, reliures (autres que les couvertures pour livres), chemises et couvertures à dossiers, en papier ou en carton</v>
      </c>
      <c r="C2009">
        <v>62096134</v>
      </c>
      <c r="D2009">
        <v>272143.2</v>
      </c>
    </row>
    <row r="2010" spans="1:4" x14ac:dyDescent="0.25">
      <c r="A2010" t="str">
        <f>T("   482090")</f>
        <v xml:space="preserve">   482090</v>
      </c>
      <c r="B2010" t="s">
        <v>219</v>
      </c>
      <c r="C2010">
        <v>15703080</v>
      </c>
      <c r="D2010">
        <v>56125</v>
      </c>
    </row>
    <row r="2011" spans="1:4" x14ac:dyDescent="0.25">
      <c r="A2011" t="str">
        <f>T("   482190")</f>
        <v xml:space="preserve">   482190</v>
      </c>
      <c r="B2011" t="str">
        <f>T("   ÉTIQUETTES DE TOUS GENRES, EN PAPIER OU EN CARTON, NON-IMPRIMÉES")</f>
        <v xml:space="preserve">   ÉTIQUETTES DE TOUS GENRES, EN PAPIER OU EN CARTON, NON-IMPRIMÉES</v>
      </c>
      <c r="C2011">
        <v>4558575</v>
      </c>
      <c r="D2011">
        <v>1229.77</v>
      </c>
    </row>
    <row r="2012" spans="1:4" x14ac:dyDescent="0.25">
      <c r="A2012" t="str">
        <f>T("   482210")</f>
        <v xml:space="preserve">   482210</v>
      </c>
      <c r="B2012" t="str">
        <f>T("   Tambours, bobines, fusettes, canettes et supports simil., en pâte à papier, papier ou carton, même perforés ou durcis, des types utilisés pour l'enroulement des fils textiles")</f>
        <v xml:space="preserve">   Tambours, bobines, fusettes, canettes et supports simil., en pâte à papier, papier ou carton, même perforés ou durcis, des types utilisés pour l'enroulement des fils textiles</v>
      </c>
      <c r="C2012">
        <v>7251222</v>
      </c>
      <c r="D2012">
        <v>17700</v>
      </c>
    </row>
    <row r="2013" spans="1:4" x14ac:dyDescent="0.25">
      <c r="A2013" t="str">
        <f>T("   482319")</f>
        <v xml:space="preserve">   482319</v>
      </c>
      <c r="B2013" t="str">
        <f>T("   Papier gommé ou adhésif, en bandes ou en rouleaux d'une largeur &lt;= 15 cm (à l'excl. des articles auto-adhésifs)")</f>
        <v xml:space="preserve">   Papier gommé ou adhésif, en bandes ou en rouleaux d'une largeur &lt;= 15 cm (à l'excl. des articles auto-adhésifs)</v>
      </c>
      <c r="C2013">
        <v>26192546</v>
      </c>
      <c r="D2013">
        <v>127372</v>
      </c>
    </row>
    <row r="2014" spans="1:4" x14ac:dyDescent="0.25">
      <c r="A2014" t="str">
        <f>T("   482340")</f>
        <v xml:space="preserve">   482340</v>
      </c>
      <c r="B2014" t="str">
        <f>T("   Papiers à diagrammes pour appareils enregistreurs, en bobines d'une largeur &lt;= 36 cm ou en feuilles de forme carrée ou rectangulaire dont aucun côté &gt; 36 cm à l'état non plié, ou découpés en disques")</f>
        <v xml:space="preserve">   Papiers à diagrammes pour appareils enregistreurs, en bobines d'une largeur &lt;= 36 cm ou en feuilles de forme carrée ou rectangulaire dont aucun côté &gt; 36 cm à l'état non plié, ou découpés en disques</v>
      </c>
      <c r="C2014">
        <v>61644501</v>
      </c>
      <c r="D2014">
        <v>31650</v>
      </c>
    </row>
    <row r="2015" spans="1:4" x14ac:dyDescent="0.25">
      <c r="A2015" t="str">
        <f>T("   482360")</f>
        <v xml:space="preserve">   482360</v>
      </c>
      <c r="B2015" t="str">
        <f>T("   Plateaux, plats, assiettes, tasses, gobelets et articles simil., en papier ou en carton")</f>
        <v xml:space="preserve">   Plateaux, plats, assiettes, tasses, gobelets et articles simil., en papier ou en carton</v>
      </c>
      <c r="C2015">
        <v>330701</v>
      </c>
      <c r="D2015">
        <v>420</v>
      </c>
    </row>
    <row r="2016" spans="1:4" x14ac:dyDescent="0.25">
      <c r="A2016" t="str">
        <f>T("   482390")</f>
        <v xml:space="preserve">   482390</v>
      </c>
      <c r="B2016" t="s">
        <v>220</v>
      </c>
      <c r="C2016">
        <v>1405436</v>
      </c>
      <c r="D2016">
        <v>2559</v>
      </c>
    </row>
    <row r="2017" spans="1:4" x14ac:dyDescent="0.25">
      <c r="A2017" t="str">
        <f>T("   490110")</f>
        <v xml:space="preserve">   490110</v>
      </c>
      <c r="B2017" t="str">
        <f>T("   Livres, brochures et imprimés simil., en feuillets isolés, même pliés (à l'excl. des publications périodiques et des publications à usages principalement publicitaires)")</f>
        <v xml:space="preserve">   Livres, brochures et imprimés simil., en feuillets isolés, même pliés (à l'excl. des publications périodiques et des publications à usages principalement publicitaires)</v>
      </c>
      <c r="C2017">
        <v>457021</v>
      </c>
      <c r="D2017">
        <v>3280</v>
      </c>
    </row>
    <row r="2018" spans="1:4" x14ac:dyDescent="0.25">
      <c r="A2018" t="str">
        <f>T("   490199")</f>
        <v xml:space="preserve">   490199</v>
      </c>
      <c r="B2018"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2018">
        <v>6039294</v>
      </c>
      <c r="D2018">
        <v>32942</v>
      </c>
    </row>
    <row r="2019" spans="1:4" x14ac:dyDescent="0.25">
      <c r="A2019" t="str">
        <f>T("   490300")</f>
        <v xml:space="preserve">   490300</v>
      </c>
      <c r="B2019" t="str">
        <f>T("   Albums ou livres d'images et albums à dessiner ou à colorier, pour enfants")</f>
        <v xml:space="preserve">   Albums ou livres d'images et albums à dessiner ou à colorier, pour enfants</v>
      </c>
      <c r="C2019">
        <v>5243130</v>
      </c>
      <c r="D2019">
        <v>26599</v>
      </c>
    </row>
    <row r="2020" spans="1:4" x14ac:dyDescent="0.25">
      <c r="A2020" t="str">
        <f>T("   490510")</f>
        <v xml:space="preserve">   490510</v>
      </c>
      <c r="B2020" t="str">
        <f>T("   Globes, imprimés (à l'excl. des globes en relief)")</f>
        <v xml:space="preserve">   Globes, imprimés (à l'excl. des globes en relief)</v>
      </c>
      <c r="C2020">
        <v>713273</v>
      </c>
      <c r="D2020">
        <v>586</v>
      </c>
    </row>
    <row r="2021" spans="1:4" x14ac:dyDescent="0.25">
      <c r="A2021" t="str">
        <f>T("   490900")</f>
        <v xml:space="preserve">   490900</v>
      </c>
      <c r="B2021" t="str">
        <f>T("   Cartes postales imprimées ou illustrées; cartes imprimées comportant des voeux ou des messages personnels, même illustrées, avec ou sans enveloppes, garnitures ou applications")</f>
        <v xml:space="preserve">   Cartes postales imprimées ou illustrées; cartes imprimées comportant des voeux ou des messages personnels, même illustrées, avec ou sans enveloppes, garnitures ou applications</v>
      </c>
      <c r="C2021">
        <v>23299</v>
      </c>
      <c r="D2021">
        <v>1004</v>
      </c>
    </row>
    <row r="2022" spans="1:4" x14ac:dyDescent="0.25">
      <c r="A2022" t="str">
        <f>T("   491000")</f>
        <v xml:space="preserve">   491000</v>
      </c>
      <c r="B2022" t="str">
        <f>T("   Calendriers de tous genres, imprimés, y.c. les blocs de calendriers à effeuiller")</f>
        <v xml:space="preserve">   Calendriers de tous genres, imprimés, y.c. les blocs de calendriers à effeuiller</v>
      </c>
      <c r="C2022">
        <v>5310146</v>
      </c>
      <c r="D2022">
        <v>20915</v>
      </c>
    </row>
    <row r="2023" spans="1:4" x14ac:dyDescent="0.25">
      <c r="A2023" t="str">
        <f>T("   491110")</f>
        <v xml:space="preserve">   491110</v>
      </c>
      <c r="B2023" t="str">
        <f>T("   Imprimés publicitaires, catalogues commerciaux et simil.")</f>
        <v xml:space="preserve">   Imprimés publicitaires, catalogues commerciaux et simil.</v>
      </c>
      <c r="C2023">
        <v>4546676</v>
      </c>
      <c r="D2023">
        <v>28400.45</v>
      </c>
    </row>
    <row r="2024" spans="1:4" x14ac:dyDescent="0.25">
      <c r="A2024" t="str">
        <f>T("   491191")</f>
        <v xml:space="preserve">   491191</v>
      </c>
      <c r="B2024" t="str">
        <f>T("   Images, gravures et photographies, n.d.a.")</f>
        <v xml:space="preserve">   Images, gravures et photographies, n.d.a.</v>
      </c>
      <c r="C2024">
        <v>1183670</v>
      </c>
      <c r="D2024">
        <v>9129</v>
      </c>
    </row>
    <row r="2025" spans="1:4" x14ac:dyDescent="0.25">
      <c r="A2025" t="str">
        <f>T("   491199")</f>
        <v xml:space="preserve">   491199</v>
      </c>
      <c r="B2025" t="str">
        <f>T("   Imprimés, n.d.a.")</f>
        <v xml:space="preserve">   Imprimés, n.d.a.</v>
      </c>
      <c r="C2025">
        <v>80632045</v>
      </c>
      <c r="D2025">
        <v>18521.5</v>
      </c>
    </row>
    <row r="2026" spans="1:4" x14ac:dyDescent="0.25">
      <c r="A2026" t="str">
        <f>T("   500790")</f>
        <v xml:space="preserve">   500790</v>
      </c>
      <c r="B2026" t="str">
        <f>T("   Tissus de soie ou de déchets de soie (autres que la bourrette), contenant en prédominance, mais &lt; 85% de soie ou de déchets de soie")</f>
        <v xml:space="preserve">   Tissus de soie ou de déchets de soie (autres que la bourrette), contenant en prédominance, mais &lt; 85% de soie ou de déchets de soie</v>
      </c>
      <c r="C2026">
        <v>28228</v>
      </c>
      <c r="D2026">
        <v>20</v>
      </c>
    </row>
    <row r="2027" spans="1:4" x14ac:dyDescent="0.25">
      <c r="A2027" t="str">
        <f>T("   511111")</f>
        <v xml:space="preserve">   511111</v>
      </c>
      <c r="B2027" t="str">
        <f>T("   Tissus de laine cardée ou de poils fins cardés, contenant &gt;= 85% en poids de laine ou de poils fins, d'un poids &lt;= 300 g/m²")</f>
        <v xml:space="preserve">   Tissus de laine cardée ou de poils fins cardés, contenant &gt;= 85% en poids de laine ou de poils fins, d'un poids &lt;= 300 g/m²</v>
      </c>
      <c r="C2027">
        <v>12000000</v>
      </c>
      <c r="D2027">
        <v>13680</v>
      </c>
    </row>
    <row r="2028" spans="1:4" x14ac:dyDescent="0.25">
      <c r="A2028" t="str">
        <f>T("   520100")</f>
        <v xml:space="preserve">   520100</v>
      </c>
      <c r="B2028" t="str">
        <f>T("   COTON, NON-CARDÉ NI PEIGNÉ")</f>
        <v xml:space="preserve">   COTON, NON-CARDÉ NI PEIGNÉ</v>
      </c>
      <c r="C2028">
        <v>500000</v>
      </c>
      <c r="D2028">
        <v>3500</v>
      </c>
    </row>
    <row r="2029" spans="1:4" x14ac:dyDescent="0.25">
      <c r="A2029" t="str">
        <f>T("   520299")</f>
        <v xml:space="preserve">   520299</v>
      </c>
      <c r="B2029" t="str">
        <f>T("   Déchets de coton (à l'excl. des déchets de fils et des effilochés)")</f>
        <v xml:space="preserve">   Déchets de coton (à l'excl. des déchets de fils et des effilochés)</v>
      </c>
      <c r="C2029">
        <v>300000</v>
      </c>
      <c r="D2029">
        <v>4000</v>
      </c>
    </row>
    <row r="2030" spans="1:4" x14ac:dyDescent="0.25">
      <c r="A2030" t="str">
        <f>T("   520300")</f>
        <v xml:space="preserve">   520300</v>
      </c>
      <c r="B2030" t="str">
        <f>T("   Coton, cardé ou peigné")</f>
        <v xml:space="preserve">   Coton, cardé ou peigné</v>
      </c>
      <c r="C2030">
        <v>3093095</v>
      </c>
      <c r="D2030">
        <v>14830</v>
      </c>
    </row>
    <row r="2031" spans="1:4" x14ac:dyDescent="0.25">
      <c r="A2031" t="str">
        <f>T("   520419")</f>
        <v xml:space="preserve">   520419</v>
      </c>
      <c r="B2031" t="str">
        <f>T("   Fils à coudre de coton, contenant en prédominance, mais &lt; 85% en poids de coton, non conditionnés pour la vente au détail")</f>
        <v xml:space="preserve">   Fils à coudre de coton, contenant en prédominance, mais &lt; 85% en poids de coton, non conditionnés pour la vente au détail</v>
      </c>
      <c r="C2031">
        <v>16002245</v>
      </c>
      <c r="D2031">
        <v>120673</v>
      </c>
    </row>
    <row r="2032" spans="1:4" x14ac:dyDescent="0.25">
      <c r="A2032" t="str">
        <f>T("   520420")</f>
        <v xml:space="preserve">   520420</v>
      </c>
      <c r="B2032" t="str">
        <f>T("   Fils à coudre de coton, conditionnés pour la vente au détail")</f>
        <v xml:space="preserve">   Fils à coudre de coton, conditionnés pour la vente au détail</v>
      </c>
      <c r="C2032">
        <v>75915712</v>
      </c>
      <c r="D2032">
        <v>572885</v>
      </c>
    </row>
    <row r="2033" spans="1:4" x14ac:dyDescent="0.25">
      <c r="A2033" t="str">
        <f>T("   520790")</f>
        <v xml:space="preserve">   520790</v>
      </c>
      <c r="B2033" t="str">
        <f>T("   Fils de coton, contenant en prédominance, mais &lt; 85% en poids de coton, conditionnés pour la vente au détail (sauf les fils à coudre)")</f>
        <v xml:space="preserve">   Fils de coton, contenant en prédominance, mais &lt; 85% en poids de coton, conditionnés pour la vente au détail (sauf les fils à coudre)</v>
      </c>
      <c r="C2033">
        <v>4636745</v>
      </c>
      <c r="D2033">
        <v>18885</v>
      </c>
    </row>
    <row r="2034" spans="1:4" x14ac:dyDescent="0.25">
      <c r="A2034" t="str">
        <f>T("   520819")</f>
        <v xml:space="preserve">   520819</v>
      </c>
      <c r="B2034" t="str">
        <f>T("   Tissus de coton, écrus, contenant &gt;= 85% en poids de coton, d'un poids &lt;= 200 g/m² (à l'excl. des tissus à armure toile ou à armure sergé [y.c. le croisé] d'un rapport d'armure &lt;= 4)")</f>
        <v xml:space="preserve">   Tissus de coton, écrus, contenant &gt;= 85% en poids de coton, d'un poids &lt;= 200 g/m² (à l'excl. des tissus à armure toile ou à armure sergé [y.c. le croisé] d'un rapport d'armure &lt;= 4)</v>
      </c>
      <c r="C2034">
        <v>22796018</v>
      </c>
      <c r="D2034">
        <v>43248</v>
      </c>
    </row>
    <row r="2035" spans="1:4" x14ac:dyDescent="0.25">
      <c r="A2035" t="str">
        <f>T("   520821")</f>
        <v xml:space="preserve">   520821</v>
      </c>
      <c r="B2035" t="str">
        <f>T("   Tissus de coton, blanchis, à armure toile, contenant &gt;= 85% en poids de coton, d'un poids &lt;= 100 g/m²")</f>
        <v xml:space="preserve">   Tissus de coton, blanchis, à armure toile, contenant &gt;= 85% en poids de coton, d'un poids &lt;= 100 g/m²</v>
      </c>
      <c r="C2035">
        <v>11130406</v>
      </c>
      <c r="D2035">
        <v>21400</v>
      </c>
    </row>
    <row r="2036" spans="1:4" x14ac:dyDescent="0.25">
      <c r="A2036" t="str">
        <f>T("   520829")</f>
        <v xml:space="preserve">   520829</v>
      </c>
      <c r="B2036" t="str">
        <f>T("   Tissus de coton, blanchis, contenant &gt;= 85% en poids de coton, d'un poids &lt;= 200 g/m² (à l'excl. des tissus à armure toile ou à armure sergé [y.c. le croisé] d'un rapport d'armure &lt;= 4)")</f>
        <v xml:space="preserve">   Tissus de coton, blanchis, contenant &gt;= 85% en poids de coton, d'un poids &lt;= 200 g/m² (à l'excl. des tissus à armure toile ou à armure sergé [y.c. le croisé] d'un rapport d'armure &lt;= 4)</v>
      </c>
      <c r="C2036">
        <v>445044754</v>
      </c>
      <c r="D2036">
        <v>755982</v>
      </c>
    </row>
    <row r="2037" spans="1:4" x14ac:dyDescent="0.25">
      <c r="A2037" t="str">
        <f>T("   520831")</f>
        <v xml:space="preserve">   520831</v>
      </c>
      <c r="B2037" t="str">
        <f>T("   Tissus de coton, teints, à armure toile, contenant &gt;= 85% en poids de coton, d'un poids &lt;= 100 g/m²")</f>
        <v xml:space="preserve">   Tissus de coton, teints, à armure toile, contenant &gt;= 85% en poids de coton, d'un poids &lt;= 100 g/m²</v>
      </c>
      <c r="C2037">
        <v>1918683</v>
      </c>
      <c r="D2037">
        <v>2161</v>
      </c>
    </row>
    <row r="2038" spans="1:4" x14ac:dyDescent="0.25">
      <c r="A2038" t="str">
        <f>T("   520832")</f>
        <v xml:space="preserve">   520832</v>
      </c>
      <c r="B2038" t="str">
        <f>T("   Tissus de coton, teints, à armure toile, contenant &gt;= 85% en poids de coton, d'un poids &gt; 100 g/m² mais &lt;= 200 g/m²")</f>
        <v xml:space="preserve">   Tissus de coton, teints, à armure toile, contenant &gt;= 85% en poids de coton, d'un poids &gt; 100 g/m² mais &lt;= 200 g/m²</v>
      </c>
      <c r="C2038">
        <v>8731360</v>
      </c>
      <c r="D2038">
        <v>5686</v>
      </c>
    </row>
    <row r="2039" spans="1:4" x14ac:dyDescent="0.25">
      <c r="A2039" t="str">
        <f>T("   520833")</f>
        <v xml:space="preserve">   520833</v>
      </c>
      <c r="B2039" t="str">
        <f>T("   TISSUS DE COTON, TEINTS, À ARMURE SERGÉ 'Y.C. LE CROISÉ' D'UN RAPPORT D'ARMURE &lt;= 4, CONTENANT &gt;= 85% EN POIDS DE COTON, D'UN POIDS &lt;= 200 G/M²")</f>
        <v xml:space="preserve">   TISSUS DE COTON, TEINTS, À ARMURE SERGÉ 'Y.C. LE CROISÉ' D'UN RAPPORT D'ARMURE &lt;= 4, CONTENANT &gt;= 85% EN POIDS DE COTON, D'UN POIDS &lt;= 200 G/M²</v>
      </c>
      <c r="C2039">
        <v>440043</v>
      </c>
      <c r="D2039">
        <v>982</v>
      </c>
    </row>
    <row r="2040" spans="1:4" x14ac:dyDescent="0.25">
      <c r="A2040" t="str">
        <f>T("   520839")</f>
        <v xml:space="preserve">   520839</v>
      </c>
      <c r="B2040" t="str">
        <f>T("   Tissus de coton, teints, contenant &gt;= 85% en poids de coton, d'un poids &lt;= 200 g/m² (à l'excl. des tissus à armure toile ou à armure sergé [y.c. le croisé] d'un rapport d'armure &lt;= 4)")</f>
        <v xml:space="preserve">   Tissus de coton, teints, contenant &gt;= 85% en poids de coton, d'un poids &lt;= 200 g/m² (à l'excl. des tissus à armure toile ou à armure sergé [y.c. le croisé] d'un rapport d'armure &lt;= 4)</v>
      </c>
      <c r="C2040">
        <v>93486816</v>
      </c>
      <c r="D2040">
        <v>117380</v>
      </c>
    </row>
    <row r="2041" spans="1:4" x14ac:dyDescent="0.25">
      <c r="A2041" t="str">
        <f>T("   520849")</f>
        <v xml:space="preserve">   520849</v>
      </c>
      <c r="B2041" t="str">
        <f>T("   Tissus de coton, en fils de diverses couleurs, contenant &gt;= 85% en poids de coton, d'un poids &lt;= 200 g/m² (à l'excl. des tissus à armure toile ou à armure sergé [y.c. le croisé] d'un rapport d'armure &lt;= 4)")</f>
        <v xml:space="preserve">   Tissus de coton, en fils de diverses couleurs, contenant &gt;= 85% en poids de coton, d'un poids &lt;= 200 g/m² (à l'excl. des tissus à armure toile ou à armure sergé [y.c. le croisé] d'un rapport d'armure &lt;= 4)</v>
      </c>
      <c r="C2041">
        <v>244640000</v>
      </c>
      <c r="D2041">
        <v>357820</v>
      </c>
    </row>
    <row r="2042" spans="1:4" x14ac:dyDescent="0.25">
      <c r="A2042" t="str">
        <f>T("   520851")</f>
        <v xml:space="preserve">   520851</v>
      </c>
      <c r="B2042" t="str">
        <f>T("   Tissus de coton, imprimés, à armure toile, contenant &gt;= 85% en poids de coton, d'un poids &lt;= 100 g/m²")</f>
        <v xml:space="preserve">   Tissus de coton, imprimés, à armure toile, contenant &gt;= 85% en poids de coton, d'un poids &lt;= 100 g/m²</v>
      </c>
      <c r="C2042">
        <v>296161693</v>
      </c>
      <c r="D2042">
        <v>461410</v>
      </c>
    </row>
    <row r="2043" spans="1:4" x14ac:dyDescent="0.25">
      <c r="A2043" t="str">
        <f>T("   520852")</f>
        <v xml:space="preserve">   520852</v>
      </c>
      <c r="B2043" t="str">
        <f>T("   Tissus de coton, imprimés, à armure toile, contenant &gt;= 85% en poids de coton, d'un poids &gt; 100 g/m² mais &lt;= 200 g/m²")</f>
        <v xml:space="preserve">   Tissus de coton, imprimés, à armure toile, contenant &gt;= 85% en poids de coton, d'un poids &gt; 100 g/m² mais &lt;= 200 g/m²</v>
      </c>
      <c r="C2043">
        <v>4059662028</v>
      </c>
      <c r="D2043">
        <v>4810997</v>
      </c>
    </row>
    <row r="2044" spans="1:4" x14ac:dyDescent="0.25">
      <c r="A2044" t="str">
        <f>T("   520859")</f>
        <v xml:space="preserve">   520859</v>
      </c>
      <c r="B2044" t="str">
        <f>T("   TISSUS DE COTON, IMPRIMÉS, CONTENANT &gt;= 85% EN POIDS DE COTON, D'UN POIDS &lt;= 200 G/M² (À L'EXCL. DES TISSUS À ARMURE TOILE)")</f>
        <v xml:space="preserve">   TISSUS DE COTON, IMPRIMÉS, CONTENANT &gt;= 85% EN POIDS DE COTON, D'UN POIDS &lt;= 200 G/M² (À L'EXCL. DES TISSUS À ARMURE TOILE)</v>
      </c>
      <c r="C2044">
        <v>204213821</v>
      </c>
      <c r="D2044">
        <v>333395</v>
      </c>
    </row>
    <row r="2045" spans="1:4" x14ac:dyDescent="0.25">
      <c r="A2045" t="str">
        <f>T("   520929")</f>
        <v xml:space="preserve">   520929</v>
      </c>
      <c r="B2045" t="str">
        <f>T("   Tissus de coton, blanchis, contenant &gt;= 85% en poids de coton, d'un poids &gt; 200 g/m² (à l'excl. des tissus à armure toile ou à armure sergé [y.c. le croisé] d'un rapport d'armure &lt;= 4)")</f>
        <v xml:space="preserve">   Tissus de coton, blanchis, contenant &gt;= 85% en poids de coton, d'un poids &gt; 200 g/m² (à l'excl. des tissus à armure toile ou à armure sergé [y.c. le croisé] d'un rapport d'armure &lt;= 4)</v>
      </c>
      <c r="C2045">
        <v>414226939</v>
      </c>
      <c r="D2045">
        <v>829802</v>
      </c>
    </row>
    <row r="2046" spans="1:4" x14ac:dyDescent="0.25">
      <c r="A2046" t="str">
        <f>T("   520931")</f>
        <v xml:space="preserve">   520931</v>
      </c>
      <c r="B2046" t="str">
        <f>T("   Tissus de coton, teints, à armure toile, contenant &gt;= 85% en poids de coton, d'un poids &gt; 200 g/m²")</f>
        <v xml:space="preserve">   Tissus de coton, teints, à armure toile, contenant &gt;= 85% en poids de coton, d'un poids &gt; 200 g/m²</v>
      </c>
      <c r="C2046">
        <v>15375702</v>
      </c>
      <c r="D2046">
        <v>18200</v>
      </c>
    </row>
    <row r="2047" spans="1:4" x14ac:dyDescent="0.25">
      <c r="A2047" t="str">
        <f>T("   520939")</f>
        <v xml:space="preserve">   520939</v>
      </c>
      <c r="B2047" t="str">
        <f>T("   Tissus de coton, teints, contenant &gt;= 85% en poids de coton, d'un poids &gt; 200 g/m² (à l'excl. des tissus à armure toile ou à armure sergé [y.c. le croisé] d'un rapport d'armure &lt;= 4)")</f>
        <v xml:space="preserve">   Tissus de coton, teints, contenant &gt;= 85% en poids de coton, d'un poids &gt; 200 g/m² (à l'excl. des tissus à armure toile ou à armure sergé [y.c. le croisé] d'un rapport d'armure &lt;= 4)</v>
      </c>
      <c r="C2047">
        <v>125298857</v>
      </c>
      <c r="D2047">
        <v>143586</v>
      </c>
    </row>
    <row r="2048" spans="1:4" x14ac:dyDescent="0.25">
      <c r="A2048" t="str">
        <f>T("   520951")</f>
        <v xml:space="preserve">   520951</v>
      </c>
      <c r="B2048" t="str">
        <f>T("   Tissus de coton, imprimés, à armure toile, contenant &gt;= 85% en poids de coton, d'un poids &gt; 200 g/m²")</f>
        <v xml:space="preserve">   Tissus de coton, imprimés, à armure toile, contenant &gt;= 85% en poids de coton, d'un poids &gt; 200 g/m²</v>
      </c>
      <c r="C2048">
        <v>271738992</v>
      </c>
      <c r="D2048">
        <v>413524</v>
      </c>
    </row>
    <row r="2049" spans="1:4" x14ac:dyDescent="0.25">
      <c r="A2049" t="str">
        <f>T("   520959")</f>
        <v xml:space="preserve">   520959</v>
      </c>
      <c r="B2049" t="str">
        <f>T("   Tissus de coton, imprimés, contenant &gt;= 85% en poids de coton, d'un poids &gt; 200 g/m² (à l'excl. des tissus à armure toile ou à armure sergé [y.c. le croisé] d'un rapport d'armure &lt;= 4)")</f>
        <v xml:space="preserve">   Tissus de coton, imprimés, contenant &gt;= 85% en poids de coton, d'un poids &gt; 200 g/m² (à l'excl. des tissus à armure toile ou à armure sergé [y.c. le croisé] d'un rapport d'armure &lt;= 4)</v>
      </c>
      <c r="C2049">
        <v>16000000</v>
      </c>
      <c r="D2049">
        <v>18900</v>
      </c>
    </row>
    <row r="2050" spans="1:4" x14ac:dyDescent="0.25">
      <c r="A2050" t="str">
        <f>T("   521139")</f>
        <v xml:space="preserve">   521139</v>
      </c>
      <c r="B2050" t="s">
        <v>225</v>
      </c>
      <c r="C2050">
        <v>89600</v>
      </c>
      <c r="D2050">
        <v>100</v>
      </c>
    </row>
    <row r="2051" spans="1:4" x14ac:dyDescent="0.25">
      <c r="A2051" t="str">
        <f>T("   521141")</f>
        <v xml:space="preserve">   521141</v>
      </c>
      <c r="B2051" t="str">
        <f>T("   Tissus de coton, en fils de diverses couleurs, à armure toile, contenant en prédominance, mais &lt; 85% en poids de coton, mélangés principalement ou uniquement avec des fibres synthétiques ou artificielles, d'un poids &gt; 200 g/m²")</f>
        <v xml:space="preserve">   Tissus de coton, en fils de diverses couleurs, à armure toile, contenant en prédominance, mais &lt; 85% en poids de coton, mélangés principalement ou uniquement avec des fibres synthétiques ou artificielles, d'un poids &gt; 200 g/m²</v>
      </c>
      <c r="C2051">
        <v>20850</v>
      </c>
      <c r="D2051">
        <v>30</v>
      </c>
    </row>
    <row r="2052" spans="1:4" x14ac:dyDescent="0.25">
      <c r="A2052" t="str">
        <f>T("   521159")</f>
        <v xml:space="preserve">   521159</v>
      </c>
      <c r="B2052" t="s">
        <v>226</v>
      </c>
      <c r="C2052">
        <v>14297617</v>
      </c>
      <c r="D2052">
        <v>40785</v>
      </c>
    </row>
    <row r="2053" spans="1:4" x14ac:dyDescent="0.25">
      <c r="A2053" t="str">
        <f>T("   521212")</f>
        <v xml:space="preserve">   521212</v>
      </c>
      <c r="B2053" t="str">
        <f>T("   Tissus de coton, blanchis, contenant en prédominance, mais &lt; 85% en poids de coton, autres que mélangés principalement ou uniquement avec des fibres synthétiques ou artificielles, d'un poids &lt;= 200 g/m²")</f>
        <v xml:space="preserve">   Tissus de coton, blanchis, contenant en prédominance, mais &lt; 85% en poids de coton, autres que mélangés principalement ou uniquement avec des fibres synthétiques ou artificielles, d'un poids &lt;= 200 g/m²</v>
      </c>
      <c r="C2053">
        <v>11580000</v>
      </c>
      <c r="D2053">
        <v>26868</v>
      </c>
    </row>
    <row r="2054" spans="1:4" x14ac:dyDescent="0.25">
      <c r="A2054" t="str">
        <f>T("   521215")</f>
        <v xml:space="preserve">   521215</v>
      </c>
      <c r="B2054" t="str">
        <f>T("   Tissus de coton, imprimés, contenant en prédominance, mais &lt; 85% en poids de coton, autres que mélangés principalement ou uniquement avec des fibres synthétiques ou artificielles, d'un poids &lt;= 200 g/m²")</f>
        <v xml:space="preserve">   Tissus de coton, imprimés, contenant en prédominance, mais &lt; 85% en poids de coton, autres que mélangés principalement ou uniquement avec des fibres synthétiques ou artificielles, d'un poids &lt;= 200 g/m²</v>
      </c>
      <c r="C2054">
        <v>35529600</v>
      </c>
      <c r="D2054">
        <v>49340</v>
      </c>
    </row>
    <row r="2055" spans="1:4" x14ac:dyDescent="0.25">
      <c r="A2055" t="str">
        <f>T("   521225")</f>
        <v xml:space="preserve">   521225</v>
      </c>
      <c r="B2055" t="str">
        <f>T("   Tissus de coton, imprimés, contenant en prédominance, mais &lt; 85% en poids de coton, autres que mélangés principalement ou uniquement avec des fibres synthétiques ou artificielles, d'un poids &gt; 200 g/m²")</f>
        <v xml:space="preserve">   Tissus de coton, imprimés, contenant en prédominance, mais &lt; 85% en poids de coton, autres que mélangés principalement ou uniquement avec des fibres synthétiques ou artificielles, d'un poids &gt; 200 g/m²</v>
      </c>
      <c r="C2055">
        <v>59000223</v>
      </c>
      <c r="D2055">
        <v>72140</v>
      </c>
    </row>
    <row r="2056" spans="1:4" x14ac:dyDescent="0.25">
      <c r="A2056" t="str">
        <f>T("   530919")</f>
        <v xml:space="preserve">   530919</v>
      </c>
      <c r="B2056" t="str">
        <f>T("   Tissus de lin, contenant &gt;= 85% en poids de lin, teints ou en fils de diverses couleurs ou imprimés")</f>
        <v xml:space="preserve">   Tissus de lin, contenant &gt;= 85% en poids de lin, teints ou en fils de diverses couleurs ou imprimés</v>
      </c>
      <c r="C2056">
        <v>530000</v>
      </c>
      <c r="D2056">
        <v>730</v>
      </c>
    </row>
    <row r="2057" spans="1:4" x14ac:dyDescent="0.25">
      <c r="A2057" t="str">
        <f>T("   530929")</f>
        <v xml:space="preserve">   530929</v>
      </c>
      <c r="B2057" t="str">
        <f>T("   Tissus de lin, contenant en prédominance, mais &lt; 85% en poids de lin, teints ou en fils de diverses couleurs ou imprimés")</f>
        <v xml:space="preserve">   Tissus de lin, contenant en prédominance, mais &lt; 85% en poids de lin, teints ou en fils de diverses couleurs ou imprimés</v>
      </c>
      <c r="C2057">
        <v>3884613</v>
      </c>
      <c r="D2057">
        <v>3817</v>
      </c>
    </row>
    <row r="2058" spans="1:4" x14ac:dyDescent="0.25">
      <c r="A2058" t="str">
        <f>T("   531090")</f>
        <v xml:space="preserve">   531090</v>
      </c>
      <c r="B2058" t="str">
        <f>T("   Tissus de jute ou d'autres fibres textiles libériennes du n° 5303, blanchis, teints, en fils de diverses couleurs ou imprimés")</f>
        <v xml:space="preserve">   Tissus de jute ou d'autres fibres textiles libériennes du n° 5303, blanchis, teints, en fils de diverses couleurs ou imprimés</v>
      </c>
      <c r="C2058">
        <v>18080000</v>
      </c>
      <c r="D2058">
        <v>28800</v>
      </c>
    </row>
    <row r="2059" spans="1:4" x14ac:dyDescent="0.25">
      <c r="A2059" t="str">
        <f>T("   540110")</f>
        <v xml:space="preserve">   540110</v>
      </c>
      <c r="B2059" t="str">
        <f>T("   Fils à coudre de filaments synthétiques, même conditionnés pour la vente au détail")</f>
        <v xml:space="preserve">   Fils à coudre de filaments synthétiques, même conditionnés pour la vente au détail</v>
      </c>
      <c r="C2059">
        <v>10995731</v>
      </c>
      <c r="D2059">
        <v>27880</v>
      </c>
    </row>
    <row r="2060" spans="1:4" x14ac:dyDescent="0.25">
      <c r="A2060" t="str">
        <f>T("   540349")</f>
        <v xml:space="preserve">   540349</v>
      </c>
      <c r="B2060" t="s">
        <v>227</v>
      </c>
      <c r="C2060">
        <v>1500000</v>
      </c>
      <c r="D2060">
        <v>11780</v>
      </c>
    </row>
    <row r="2061" spans="1:4" x14ac:dyDescent="0.25">
      <c r="A2061" t="str">
        <f>T("   540610")</f>
        <v xml:space="preserve">   540610</v>
      </c>
      <c r="B2061" t="str">
        <f>T("   Fils de filaments synthétiques, conditionnés pour la vente au détail (à l'excl. des fils à coudre)")</f>
        <v xml:space="preserve">   Fils de filaments synthétiques, conditionnés pour la vente au détail (à l'excl. des fils à coudre)</v>
      </c>
      <c r="C2061">
        <v>24174</v>
      </c>
      <c r="D2061">
        <v>390</v>
      </c>
    </row>
    <row r="2062" spans="1:4" x14ac:dyDescent="0.25">
      <c r="A2062" t="str">
        <f>T("   540710")</f>
        <v xml:space="preserve">   540710</v>
      </c>
      <c r="B2062" t="str">
        <f>T("   Tissus obtenus à partir de fils à haute ténacité de nylon ou d'autres polyamides ou de polyesters, y.c. les tissus obtenus à partir des monofilaments du n° 5404")</f>
        <v xml:space="preserve">   Tissus obtenus à partir de fils à haute ténacité de nylon ou d'autres polyamides ou de polyesters, y.c. les tissus obtenus à partir des monofilaments du n° 5404</v>
      </c>
      <c r="C2062">
        <v>307360000</v>
      </c>
      <c r="D2062">
        <v>562790</v>
      </c>
    </row>
    <row r="2063" spans="1:4" x14ac:dyDescent="0.25">
      <c r="A2063" t="str">
        <f>T("   540730")</f>
        <v xml:space="preserve">   540730</v>
      </c>
      <c r="B2063" t="s">
        <v>228</v>
      </c>
      <c r="C2063">
        <v>18080000</v>
      </c>
      <c r="D2063">
        <v>28770</v>
      </c>
    </row>
    <row r="2064" spans="1:4" x14ac:dyDescent="0.25">
      <c r="A2064" t="str">
        <f>T("   540769")</f>
        <v xml:space="preserve">   540769</v>
      </c>
      <c r="B2064" t="str">
        <f>T("   TISSUS OBTENUS À PARTIR DE FILS CONTENANT &gt;= 85% EN POIDS DE MÉLANGES DE FILAMENTS DE POLYESTER TEXTURÉS ET DE FILAMENTS DE POLYESTER NON-TEXTURÉS, Y.C. LES TISSUS OBTENUS À PARTIR DES MONOFILAMENTS DU N° 5404")</f>
        <v xml:space="preserve">   TISSUS OBTENUS À PARTIR DE FILS CONTENANT &gt;= 85% EN POIDS DE MÉLANGES DE FILAMENTS DE POLYESTER TEXTURÉS ET DE FILAMENTS DE POLYESTER NON-TEXTURÉS, Y.C. LES TISSUS OBTENUS À PARTIR DES MONOFILAMENTS DU N° 5404</v>
      </c>
      <c r="C2064">
        <v>77774664</v>
      </c>
      <c r="D2064">
        <v>74308</v>
      </c>
    </row>
    <row r="2065" spans="1:4" x14ac:dyDescent="0.25">
      <c r="A2065" t="str">
        <f>T("   540782")</f>
        <v xml:space="preserve">   540782</v>
      </c>
      <c r="B2065" t="str">
        <f>T("   Tissus teints, obtenus à partir de fils de filaments synthétiques contenant en prédominance, mais &lt; 85% en poids de ces filaments et mélangés principalement ou uniquement avec du coton, y.c. les tissus obtenus à partir des monofilaments du n° 5404")</f>
        <v xml:space="preserve">   Tissus teints, obtenus à partir de fils de filaments synthétiques contenant en prédominance, mais &lt; 85% en poids de ces filaments et mélangés principalement ou uniquement avec du coton, y.c. les tissus obtenus à partir des monofilaments du n° 5404</v>
      </c>
      <c r="C2065">
        <v>5612710</v>
      </c>
      <c r="D2065">
        <v>6396</v>
      </c>
    </row>
    <row r="2066" spans="1:4" x14ac:dyDescent="0.25">
      <c r="A2066" t="str">
        <f>T("   540792")</f>
        <v xml:space="preserve">   540792</v>
      </c>
      <c r="B2066" t="s">
        <v>230</v>
      </c>
      <c r="C2066">
        <v>2595201</v>
      </c>
      <c r="D2066">
        <v>2488</v>
      </c>
    </row>
    <row r="2067" spans="1:4" x14ac:dyDescent="0.25">
      <c r="A2067" t="str">
        <f>T("   550320")</f>
        <v xml:space="preserve">   550320</v>
      </c>
      <c r="B2067" t="str">
        <f>T("   Fibres discontinues de polyesters, non cardées ni peignées ni autrement transformées pour la filature")</f>
        <v xml:space="preserve">   Fibres discontinues de polyesters, non cardées ni peignées ni autrement transformées pour la filature</v>
      </c>
      <c r="C2067">
        <v>41853894</v>
      </c>
      <c r="D2067">
        <v>25728</v>
      </c>
    </row>
    <row r="2068" spans="1:4" x14ac:dyDescent="0.25">
      <c r="A2068" t="str">
        <f>T("   550810")</f>
        <v xml:space="preserve">   550810</v>
      </c>
      <c r="B2068" t="str">
        <f>T("   Fils à coudre de fibres synthétiques discontinues, même conditionnés pour la vente au détail")</f>
        <v xml:space="preserve">   Fils à coudre de fibres synthétiques discontinues, même conditionnés pour la vente au détail</v>
      </c>
      <c r="C2068">
        <v>4023069</v>
      </c>
      <c r="D2068">
        <v>13722</v>
      </c>
    </row>
    <row r="2069" spans="1:4" x14ac:dyDescent="0.25">
      <c r="A2069" t="str">
        <f>T("   550820")</f>
        <v xml:space="preserve">   550820</v>
      </c>
      <c r="B2069" t="str">
        <f>T("   Fils à coudre de fibres artificielles discontinues, même conditionnés pour la vente au détail")</f>
        <v xml:space="preserve">   Fils à coudre de fibres artificielles discontinues, même conditionnés pour la vente au détail</v>
      </c>
      <c r="C2069">
        <v>1000000</v>
      </c>
      <c r="D2069">
        <v>2080</v>
      </c>
    </row>
    <row r="2070" spans="1:4" x14ac:dyDescent="0.25">
      <c r="A2070" t="str">
        <f>T("   551120")</f>
        <v xml:space="preserve">   551120</v>
      </c>
      <c r="B2070" t="str">
        <f>T("   Fils de fibres synthétiques discontinues, contenant en prédominance, mais &lt; 85% en poids de ces fibres, conditionnés pour la vente au détail (à l'excl. des fils à coudre)")</f>
        <v xml:space="preserve">   Fils de fibres synthétiques discontinues, contenant en prédominance, mais &lt; 85% en poids de ces fibres, conditionnés pour la vente au détail (à l'excl. des fils à coudre)</v>
      </c>
      <c r="C2070">
        <v>10479260</v>
      </c>
      <c r="D2070">
        <v>32907</v>
      </c>
    </row>
    <row r="2071" spans="1:4" x14ac:dyDescent="0.25">
      <c r="A2071" t="str">
        <f>T("   551219")</f>
        <v xml:space="preserve">   551219</v>
      </c>
      <c r="B2071" t="str">
        <f>T("   Tissus, teints, imprimés ou en fils de diverses couleurs, de fibres discontinues de polyester, contenant &gt;= 85% en poids de ces fibres")</f>
        <v xml:space="preserve">   Tissus, teints, imprimés ou en fils de diverses couleurs, de fibres discontinues de polyester, contenant &gt;= 85% en poids de ces fibres</v>
      </c>
      <c r="C2071">
        <v>328351083</v>
      </c>
      <c r="D2071">
        <v>592369</v>
      </c>
    </row>
    <row r="2072" spans="1:4" x14ac:dyDescent="0.25">
      <c r="A2072" t="str">
        <f>T("   551291")</f>
        <v xml:space="preserve">   551291</v>
      </c>
      <c r="B2072" t="str">
        <f>T("   Tissus, écrus ou blanchis, de fibres synthétiques discontinues, contenant &gt;= 85% en poids de ces fibres (à l'excl. des tissus de fibres discontinues acryliques ou modacryliques ou de fibres discontinues de polyester)")</f>
        <v xml:space="preserve">   Tissus, écrus ou blanchis, de fibres synthétiques discontinues, contenant &gt;= 85% en poids de ces fibres (à l'excl. des tissus de fibres discontinues acryliques ou modacryliques ou de fibres discontinues de polyester)</v>
      </c>
      <c r="C2072">
        <v>88803</v>
      </c>
      <c r="D2072">
        <v>60</v>
      </c>
    </row>
    <row r="2073" spans="1:4" x14ac:dyDescent="0.25">
      <c r="A2073" t="str">
        <f>T("   551299")</f>
        <v xml:space="preserve">   551299</v>
      </c>
      <c r="B2073" t="str">
        <f>T("   Tissus, teints, imprimés ou en fils de diverses couleurs, de fibres synthétiques discontinues, contenant &gt;= 85% en poids de ces fibres (à l'excl. des tissus de fibres discontinues acryliques ou modacryliques ou de fibres discontinues de polyester)")</f>
        <v xml:space="preserve">   Tissus, teints, imprimés ou en fils de diverses couleurs, de fibres synthétiques discontinues, contenant &gt;= 85% en poids de ces fibres (à l'excl. des tissus de fibres discontinues acryliques ou modacryliques ou de fibres discontinues de polyester)</v>
      </c>
      <c r="C2073">
        <v>296754695</v>
      </c>
      <c r="D2073">
        <v>606192</v>
      </c>
    </row>
    <row r="2074" spans="1:4" x14ac:dyDescent="0.25">
      <c r="A2074" t="str">
        <f>T("   551313")</f>
        <v xml:space="preserve">   551313</v>
      </c>
      <c r="B2074" t="s">
        <v>232</v>
      </c>
      <c r="C2074">
        <v>85080000</v>
      </c>
      <c r="D2074">
        <v>103900</v>
      </c>
    </row>
    <row r="2075" spans="1:4" x14ac:dyDescent="0.25">
      <c r="A2075" t="str">
        <f>T("   551319")</f>
        <v xml:space="preserve">   551319</v>
      </c>
      <c r="B2075" t="s">
        <v>233</v>
      </c>
      <c r="C2075">
        <v>142866918</v>
      </c>
      <c r="D2075">
        <v>265375</v>
      </c>
    </row>
    <row r="2076" spans="1:4" x14ac:dyDescent="0.25">
      <c r="A2076" t="str">
        <f>T("   551321")</f>
        <v xml:space="preserve">   551321</v>
      </c>
      <c r="B2076" t="str">
        <f>T("   Tissus, teints, de fibres discontinues de polyester, contenant en prédominance, mais &lt; 85% en poids de ces fibres, mélangés principalement ou uniquement avec du coton, à armure toile, d'un poids &lt;= 170 g/m²")</f>
        <v xml:space="preserve">   Tissus, teints, de fibres discontinues de polyester, contenant en prédominance, mais &lt; 85% en poids de ces fibres, mélangés principalement ou uniquement avec du coton, à armure toile, d'un poids &lt;= 170 g/m²</v>
      </c>
      <c r="C2076">
        <v>358153537</v>
      </c>
      <c r="D2076">
        <v>454348</v>
      </c>
    </row>
    <row r="2077" spans="1:4" x14ac:dyDescent="0.25">
      <c r="A2077" t="str">
        <f>T("   551329")</f>
        <v xml:space="preserve">   551329</v>
      </c>
      <c r="B2077" t="str">
        <f>T("   Tissus, teints, de fibres synthétiques discontinues, contenant en prédominance, mais &lt; 85% en poids de ces fibres, mélangés principalement ou uniquement avec du coton, d'un poids &lt;= 170 g/m² (à l'excl. des tissus de fibres discontinues de polyester)")</f>
        <v xml:space="preserve">   Tissus, teints, de fibres synthétiques discontinues, contenant en prédominance, mais &lt; 85% en poids de ces fibres, mélangés principalement ou uniquement avec du coton, d'un poids &lt;= 170 g/m² (à l'excl. des tissus de fibres discontinues de polyester)</v>
      </c>
      <c r="C2077">
        <v>45283007</v>
      </c>
      <c r="D2077">
        <v>49287</v>
      </c>
    </row>
    <row r="2078" spans="1:4" x14ac:dyDescent="0.25">
      <c r="A2078" t="str">
        <f>T("   551339")</f>
        <v xml:space="preserve">   551339</v>
      </c>
      <c r="B2078" t="s">
        <v>234</v>
      </c>
      <c r="C2078">
        <v>6947695</v>
      </c>
      <c r="D2078">
        <v>35400</v>
      </c>
    </row>
    <row r="2079" spans="1:4" x14ac:dyDescent="0.25">
      <c r="A2079" t="str">
        <f>T("   551349")</f>
        <v xml:space="preserve">   551349</v>
      </c>
      <c r="B2079" t="str">
        <f>T("   Tissus, imprimés, de fibres synthétiques discontinues, contenant en prédominance, mais &lt; 85% en poids de ces fibres, mélangés principalement ou uniquement avec du coton, d'un poids &lt;= 170 g/m² (à l'excl. des tissus de fibres discontinues de polyester)")</f>
        <v xml:space="preserve">   Tissus, imprimés, de fibres synthétiques discontinues, contenant en prédominance, mais &lt; 85% en poids de ces fibres, mélangés principalement ou uniquement avec du coton, d'un poids &lt;= 170 g/m² (à l'excl. des tissus de fibres discontinues de polyester)</v>
      </c>
      <c r="C2079">
        <v>108080264</v>
      </c>
      <c r="D2079">
        <v>181490</v>
      </c>
    </row>
    <row r="2080" spans="1:4" x14ac:dyDescent="0.25">
      <c r="A2080" t="str">
        <f>T("   551413")</f>
        <v xml:space="preserve">   551413</v>
      </c>
      <c r="B2080" t="s">
        <v>236</v>
      </c>
      <c r="C2080">
        <v>18080000</v>
      </c>
      <c r="D2080">
        <v>48730</v>
      </c>
    </row>
    <row r="2081" spans="1:4" x14ac:dyDescent="0.25">
      <c r="A2081" t="str">
        <f>T("   551421")</f>
        <v xml:space="preserve">   551421</v>
      </c>
      <c r="B2081" t="str">
        <f>T("   Tissus, teints, de fibres discontinues de polyester, contenant en prédominance, mais &lt; 85% en poids de ces fibres, mélangés principalement ou uniquement avec du coton, à armure toile, d'un poids &gt; 170 g/m²")</f>
        <v xml:space="preserve">   Tissus, teints, de fibres discontinues de polyester, contenant en prédominance, mais &lt; 85% en poids de ces fibres, mélangés principalement ou uniquement avec du coton, à armure toile, d'un poids &gt; 170 g/m²</v>
      </c>
      <c r="C2081">
        <v>101569043</v>
      </c>
      <c r="D2081">
        <v>127497</v>
      </c>
    </row>
    <row r="2082" spans="1:4" x14ac:dyDescent="0.25">
      <c r="A2082" t="str">
        <f>T("   551429")</f>
        <v xml:space="preserve">   551429</v>
      </c>
      <c r="B2082" t="str">
        <f>T("   Tissus, teints, de fibres synthétiques discontinues, contenant en prédominance, mais &lt; 85% en poids de ces fibres, mélangés principalement ou uniquement avec du coton, d'un poids &gt; 170 g/m² (à l'excl. des tissus de fibres discontinues de polyester)")</f>
        <v xml:space="preserve">   Tissus, teints, de fibres synthétiques discontinues, contenant en prédominance, mais &lt; 85% en poids de ces fibres, mélangés principalement ou uniquement avec du coton, d'un poids &gt; 170 g/m² (à l'excl. des tissus de fibres discontinues de polyester)</v>
      </c>
      <c r="C2082">
        <v>30026326</v>
      </c>
      <c r="D2082">
        <v>49188</v>
      </c>
    </row>
    <row r="2083" spans="1:4" x14ac:dyDescent="0.25">
      <c r="A2083" t="str">
        <f>T("   551439")</f>
        <v xml:space="preserve">   551439</v>
      </c>
      <c r="B2083" t="s">
        <v>237</v>
      </c>
      <c r="C2083">
        <v>12000000</v>
      </c>
      <c r="D2083">
        <v>14020</v>
      </c>
    </row>
    <row r="2084" spans="1:4" x14ac:dyDescent="0.25">
      <c r="A2084" t="str">
        <f>T("   551449")</f>
        <v xml:space="preserve">   551449</v>
      </c>
      <c r="B2084" t="str">
        <f>T("   Tissus, imprimés, de fibres synthétiques discontinues, contenant en prédominance, mais &lt; 85% en poids de ces fibres, mélangés principalement ou uniquement avec du coton, d'un poids &gt; 170 g/m² (à l'excl. des tissus de fibres discontinues de polyester)")</f>
        <v xml:space="preserve">   Tissus, imprimés, de fibres synthétiques discontinues, contenant en prédominance, mais &lt; 85% en poids de ces fibres, mélangés principalement ou uniquement avec du coton, d'un poids &gt; 170 g/m² (à l'excl. des tissus de fibres discontinues de polyester)</v>
      </c>
      <c r="C2084">
        <v>45081646</v>
      </c>
      <c r="D2084">
        <v>47125</v>
      </c>
    </row>
    <row r="2085" spans="1:4" x14ac:dyDescent="0.25">
      <c r="A2085" t="str">
        <f>T("   551519")</f>
        <v xml:space="preserve">   551519</v>
      </c>
      <c r="B2085" t="s">
        <v>239</v>
      </c>
      <c r="C2085">
        <v>275270806</v>
      </c>
      <c r="D2085">
        <v>460746</v>
      </c>
    </row>
    <row r="2086" spans="1:4" x14ac:dyDescent="0.25">
      <c r="A2086" t="str">
        <f>T("   551529")</f>
        <v xml:space="preserve">   551529</v>
      </c>
      <c r="B2086" t="s">
        <v>240</v>
      </c>
      <c r="C2086">
        <v>846800000</v>
      </c>
      <c r="D2086">
        <v>2020690</v>
      </c>
    </row>
    <row r="2087" spans="1:4" x14ac:dyDescent="0.25">
      <c r="A2087" t="str">
        <f>T("   551592")</f>
        <v xml:space="preserve">   551592</v>
      </c>
      <c r="B2087" t="s">
        <v>242</v>
      </c>
      <c r="C2087">
        <v>760377336</v>
      </c>
      <c r="D2087">
        <v>1569764</v>
      </c>
    </row>
    <row r="2088" spans="1:4" x14ac:dyDescent="0.25">
      <c r="A2088" t="str">
        <f>T("   551599")</f>
        <v xml:space="preserve">   551599</v>
      </c>
      <c r="B2088" t="s">
        <v>243</v>
      </c>
      <c r="C2088">
        <v>497440000</v>
      </c>
      <c r="D2088">
        <v>1210500</v>
      </c>
    </row>
    <row r="2089" spans="1:4" x14ac:dyDescent="0.25">
      <c r="A2089" t="str">
        <f>T("   560110")</f>
        <v xml:space="preserve">   560110</v>
      </c>
      <c r="B2089" t="str">
        <f>T("   Serviettes et tampons hygiéniques, couches pour bébés et articles hygiéniques simil., en ouates")</f>
        <v xml:space="preserve">   Serviettes et tampons hygiéniques, couches pour bébés et articles hygiéniques simil., en ouates</v>
      </c>
      <c r="C2089">
        <v>90685387</v>
      </c>
      <c r="D2089">
        <v>481803</v>
      </c>
    </row>
    <row r="2090" spans="1:4" x14ac:dyDescent="0.25">
      <c r="A2090" t="str">
        <f>T("   560121")</f>
        <v xml:space="preserve">   560121</v>
      </c>
      <c r="B2090" t="s">
        <v>244</v>
      </c>
      <c r="C2090">
        <v>187821</v>
      </c>
      <c r="D2090">
        <v>61</v>
      </c>
    </row>
    <row r="2091" spans="1:4" x14ac:dyDescent="0.25">
      <c r="A2091" t="str">
        <f>T("   560129")</f>
        <v xml:space="preserve">   560129</v>
      </c>
      <c r="B2091" t="s">
        <v>245</v>
      </c>
      <c r="C2091">
        <v>5500000</v>
      </c>
      <c r="D2091">
        <v>44200</v>
      </c>
    </row>
    <row r="2092" spans="1:4" x14ac:dyDescent="0.25">
      <c r="A2092" t="str">
        <f>T("   560490")</f>
        <v xml:space="preserve">   560490</v>
      </c>
      <c r="B2092" t="str">
        <f>T("   FILS TEXTILES, LAMES ET FORMES SIMIL. DU N° 5404 OU 5405, IMPRÉGNÉS, ENDUITS, RECOUVERTS OU GAINÉS DE CAOUTCHOUC OU DE MATIÈRE PLASTIQUE (À L'EXCL. DES IMITATIONS DE CATGUT MUNIES D'HAMEÇONS OU AUTREMENT MONTÉES EN LIGNES)")</f>
        <v xml:space="preserve">   FILS TEXTILES, LAMES ET FORMES SIMIL. DU N° 5404 OU 5405, IMPRÉGNÉS, ENDUITS, RECOUVERTS OU GAINÉS DE CAOUTCHOUC OU DE MATIÈRE PLASTIQUE (À L'EXCL. DES IMITATIONS DE CATGUT MUNIES D'HAMEÇONS OU AUTREMENT MONTÉES EN LIGNES)</v>
      </c>
      <c r="C2092">
        <v>1000000</v>
      </c>
      <c r="D2092">
        <v>7020</v>
      </c>
    </row>
    <row r="2093" spans="1:4" x14ac:dyDescent="0.25">
      <c r="A2093" t="str">
        <f>T("   560749")</f>
        <v xml:space="preserve">   560749</v>
      </c>
      <c r="B2093" t="str">
        <f>T("   Ficelles, cordes et cordages, de polyéthylène ou de polypropylène, tressés ou non, même imprégnés, enduits, recouverts ou gainés de caoutchouc ou de matière plastique (à l'excl. les ficelles lieuses ou botteleuses)")</f>
        <v xml:space="preserve">   Ficelles, cordes et cordages, de polyéthylène ou de polypropylène, tressés ou non, même imprégnés, enduits, recouverts ou gainés de caoutchouc ou de matière plastique (à l'excl. les ficelles lieuses ou botteleuses)</v>
      </c>
      <c r="C2093">
        <v>2189307</v>
      </c>
      <c r="D2093">
        <v>541</v>
      </c>
    </row>
    <row r="2094" spans="1:4" x14ac:dyDescent="0.25">
      <c r="A2094" t="str">
        <f>T("   560790")</f>
        <v xml:space="preserve">   560790</v>
      </c>
      <c r="B2094" t="str">
        <f>T("   FICELLES, CORDES ET CORDAGES, TRESSÉS OU NON, MÊME IMPRÉGNÉS, ENDUITS, RECOUVERTS OU GAINÉS DE CAOUTCHOUC OU DE MATIÈRE PLASTIQUE (À L'EXCL. DES PRODUITS DE FIBRES SYNTHÉTIQUES AINSI QUE DE SISAL OU D'AUTRES FIBRES TEXTILES DU GENRE 'AGAVE')")</f>
        <v xml:space="preserve">   FICELLES, CORDES ET CORDAGES, TRESSÉS OU NON, MÊME IMPRÉGNÉS, ENDUITS, RECOUVERTS OU GAINÉS DE CAOUTCHOUC OU DE MATIÈRE PLASTIQUE (À L'EXCL. DES PRODUITS DE FIBRES SYNTHÉTIQUES AINSI QUE DE SISAL OU D'AUTRES FIBRES TEXTILES DU GENRE 'AGAVE')</v>
      </c>
      <c r="C2094">
        <v>2921331</v>
      </c>
      <c r="D2094">
        <v>35849</v>
      </c>
    </row>
    <row r="2095" spans="1:4" x14ac:dyDescent="0.25">
      <c r="A2095" t="str">
        <f>T("   560811")</f>
        <v xml:space="preserve">   560811</v>
      </c>
      <c r="B2095" t="str">
        <f>T("   Filets confectionnés pour la pêche, à mailles nouées, en matières textiles synthétiques ou artificielles (à l'excl. des épuisettes)")</f>
        <v xml:space="preserve">   Filets confectionnés pour la pêche, à mailles nouées, en matières textiles synthétiques ou artificielles (à l'excl. des épuisettes)</v>
      </c>
      <c r="C2095">
        <v>1891080</v>
      </c>
      <c r="D2095">
        <v>18996</v>
      </c>
    </row>
    <row r="2096" spans="1:4" x14ac:dyDescent="0.25">
      <c r="A2096" t="str">
        <f>T("   560819")</f>
        <v xml:space="preserve">   560819</v>
      </c>
      <c r="B2096" t="s">
        <v>246</v>
      </c>
      <c r="C2096">
        <v>1074634</v>
      </c>
      <c r="D2096">
        <v>3763</v>
      </c>
    </row>
    <row r="2097" spans="1:4" x14ac:dyDescent="0.25">
      <c r="A2097" t="str">
        <f>T("   560890")</f>
        <v xml:space="preserve">   560890</v>
      </c>
      <c r="B2097" t="s">
        <v>247</v>
      </c>
      <c r="C2097">
        <v>89326675</v>
      </c>
      <c r="D2097">
        <v>429143</v>
      </c>
    </row>
    <row r="2098" spans="1:4" x14ac:dyDescent="0.25">
      <c r="A2098" t="str">
        <f>T("   560900")</f>
        <v xml:space="preserve">   560900</v>
      </c>
      <c r="B2098" t="str">
        <f>T("   Articles en fils, lames ou formes simil. du n° 5404 ou 5405, ficelles, cordes ou cordages du n° 5607, n.d.a.")</f>
        <v xml:space="preserve">   Articles en fils, lames ou formes simil. du n° 5404 ou 5405, ficelles, cordes ou cordages du n° 5607, n.d.a.</v>
      </c>
      <c r="C2098">
        <v>1111462</v>
      </c>
      <c r="D2098">
        <v>9618</v>
      </c>
    </row>
    <row r="2099" spans="1:4" x14ac:dyDescent="0.25">
      <c r="A2099" t="str">
        <f>T("   570110")</f>
        <v xml:space="preserve">   570110</v>
      </c>
      <c r="B2099" t="str">
        <f>T("   Tapis de laine ou de poils fins, à points noués ou enroulés, même confectionnés")</f>
        <v xml:space="preserve">   Tapis de laine ou de poils fins, à points noués ou enroulés, même confectionnés</v>
      </c>
      <c r="C2099">
        <v>87500</v>
      </c>
      <c r="D2099">
        <v>60</v>
      </c>
    </row>
    <row r="2100" spans="1:4" x14ac:dyDescent="0.25">
      <c r="A2100" t="str">
        <f>T("   570190")</f>
        <v xml:space="preserve">   570190</v>
      </c>
      <c r="B2100" t="str">
        <f>T("   Tapis en matières textiles, à points noués ou enroulés, même confectionnés (à l'excl. des tapis de laine ou de poils fins)")</f>
        <v xml:space="preserve">   Tapis en matières textiles, à points noués ou enroulés, même confectionnés (à l'excl. des tapis de laine ou de poils fins)</v>
      </c>
      <c r="C2100">
        <v>17928730</v>
      </c>
      <c r="D2100">
        <v>91735.5</v>
      </c>
    </row>
    <row r="2101" spans="1:4" x14ac:dyDescent="0.25">
      <c r="A2101" t="str">
        <f>T("   570239")</f>
        <v xml:space="preserve">   570239</v>
      </c>
      <c r="B2101" t="s">
        <v>249</v>
      </c>
      <c r="C2101">
        <v>4000000</v>
      </c>
      <c r="D2101">
        <v>7300</v>
      </c>
    </row>
    <row r="2102" spans="1:4" x14ac:dyDescent="0.25">
      <c r="A2102" t="str">
        <f>T("   570299")</f>
        <v xml:space="preserve">   570299</v>
      </c>
      <c r="B2102" t="s">
        <v>252</v>
      </c>
      <c r="C2102">
        <v>737719</v>
      </c>
      <c r="D2102">
        <v>1237</v>
      </c>
    </row>
    <row r="2103" spans="1:4" x14ac:dyDescent="0.25">
      <c r="A2103" t="str">
        <f>T("   570330")</f>
        <v xml:space="preserve">   570330</v>
      </c>
      <c r="B2103" t="str">
        <f>T("   Tapis et autres revêtements de sol, de matières textiles synthétiques ou artificielles, touffetés, même confectionnés (à l'excl. des articles en nylon ou en autres polyamides)")</f>
        <v xml:space="preserve">   Tapis et autres revêtements de sol, de matières textiles synthétiques ou artificielles, touffetés, même confectionnés (à l'excl. des articles en nylon ou en autres polyamides)</v>
      </c>
      <c r="C2103">
        <v>435249</v>
      </c>
      <c r="D2103">
        <v>640</v>
      </c>
    </row>
    <row r="2104" spans="1:4" x14ac:dyDescent="0.25">
      <c r="A2104" t="str">
        <f>T("   570390")</f>
        <v xml:space="preserve">   570390</v>
      </c>
      <c r="B2104" t="str">
        <f>T("   Tapis et autres revêtements de sol, de matières textiles végétales ou de poils grossiers, touffetés, même confectionnés")</f>
        <v xml:space="preserve">   Tapis et autres revêtements de sol, de matières textiles végétales ou de poils grossiers, touffetés, même confectionnés</v>
      </c>
      <c r="C2104">
        <v>1250882</v>
      </c>
      <c r="D2104">
        <v>5277</v>
      </c>
    </row>
    <row r="2105" spans="1:4" x14ac:dyDescent="0.25">
      <c r="A2105" t="str">
        <f>T("   570500")</f>
        <v xml:space="preserve">   570500</v>
      </c>
      <c r="B2105" t="str">
        <f>T("   Tapis et autres revêtements de sol en matières textiles, même confectionnés (à l'excl. à points noués ou enroulés, tissés, touffetés ou en feutre)")</f>
        <v xml:space="preserve">   Tapis et autres revêtements de sol en matières textiles, même confectionnés (à l'excl. à points noués ou enroulés, tissés, touffetés ou en feutre)</v>
      </c>
      <c r="C2105">
        <v>10244474</v>
      </c>
      <c r="D2105">
        <v>24411.5</v>
      </c>
    </row>
    <row r="2106" spans="1:4" x14ac:dyDescent="0.25">
      <c r="A2106" t="str">
        <f>T("   580219")</f>
        <v xml:space="preserve">   580219</v>
      </c>
      <c r="B2106" t="str">
        <f>T("   Tissus bouclés du genre éponge, en coton (à l'excl. des tissus écrus, des articles de rubanerie du n° 5806 ainsi que des tapis et autres revêtements de sol du n° 5703)")</f>
        <v xml:space="preserve">   Tissus bouclés du genre éponge, en coton (à l'excl. des tissus écrus, des articles de rubanerie du n° 5806 ainsi que des tapis et autres revêtements de sol du n° 5703)</v>
      </c>
      <c r="C2106">
        <v>72500034</v>
      </c>
      <c r="D2106">
        <v>258444</v>
      </c>
    </row>
    <row r="2107" spans="1:4" x14ac:dyDescent="0.25">
      <c r="A2107" t="str">
        <f>T("   580390")</f>
        <v xml:space="preserve">   580390</v>
      </c>
      <c r="B2107" t="str">
        <f>T("   Tissus à point de gaze (à l'excl. des tissus en coton ainsi que des articles de rubanerie du n° 5806)")</f>
        <v xml:space="preserve">   Tissus à point de gaze (à l'excl. des tissus en coton ainsi que des articles de rubanerie du n° 5806)</v>
      </c>
      <c r="C2107">
        <v>12944400</v>
      </c>
      <c r="D2107">
        <v>9025</v>
      </c>
    </row>
    <row r="2108" spans="1:4" x14ac:dyDescent="0.25">
      <c r="A2108" t="str">
        <f>T("   580421")</f>
        <v xml:space="preserve">   580421</v>
      </c>
      <c r="B2108" t="str">
        <f>T("   Dentelles à la mécanique, de fibres synthétiques ou artificielles, en pièces, en bandes ou en motifs (à l'excl. des produits du n° 6002 à 6006)")</f>
        <v xml:space="preserve">   Dentelles à la mécanique, de fibres synthétiques ou artificielles, en pièces, en bandes ou en motifs (à l'excl. des produits du n° 6002 à 6006)</v>
      </c>
      <c r="C2108">
        <v>3500000</v>
      </c>
      <c r="D2108">
        <v>11640</v>
      </c>
    </row>
    <row r="2109" spans="1:4" x14ac:dyDescent="0.25">
      <c r="A2109" t="str">
        <f>T("   580429")</f>
        <v xml:space="preserve">   580429</v>
      </c>
      <c r="B2109" t="str">
        <f>T("   Dentelles à la mécanique, en pièces, en bandes ou en motifs (à l'excl. des articles de fibres synthétiques ou artificielles ainsi que des produits du n° 6002 à 6006)")</f>
        <v xml:space="preserve">   Dentelles à la mécanique, en pièces, en bandes ou en motifs (à l'excl. des articles de fibres synthétiques ou artificielles ainsi que des produits du n° 6002 à 6006)</v>
      </c>
      <c r="C2109">
        <v>300000</v>
      </c>
      <c r="D2109">
        <v>150</v>
      </c>
    </row>
    <row r="2110" spans="1:4" x14ac:dyDescent="0.25">
      <c r="A2110" t="str">
        <f>T("   580639")</f>
        <v xml:space="preserve">   580639</v>
      </c>
      <c r="B2110" t="str">
        <f>T("   Rubanerie, tissée, en matières textiles, n.d.a. (à l'excl. des articles de coton ou de fibres synthétiques ou artificielles)")</f>
        <v xml:space="preserve">   Rubanerie, tissée, en matières textiles, n.d.a. (à l'excl. des articles de coton ou de fibres synthétiques ou artificielles)</v>
      </c>
      <c r="C2110">
        <v>4795869</v>
      </c>
      <c r="D2110">
        <v>10572</v>
      </c>
    </row>
    <row r="2111" spans="1:4" x14ac:dyDescent="0.25">
      <c r="A2111" t="str">
        <f>T("   580790")</f>
        <v xml:space="preserve">   580790</v>
      </c>
      <c r="B2111" t="str">
        <f>T("   ÉTIQUETTES, ÉCUSSONS ET ARTICLES SIMIL. EN MATIÈRES TEXTILES, EN PIÈCES, EN RUBANS OU DÉCOUPÉS, NON-BRODÉS (À L'EXCL. DES ARTICLES TISSÉS)")</f>
        <v xml:space="preserve">   ÉTIQUETTES, ÉCUSSONS ET ARTICLES SIMIL. EN MATIÈRES TEXTILES, EN PIÈCES, EN RUBANS OU DÉCOUPÉS, NON-BRODÉS (À L'EXCL. DES ARTICLES TISSÉS)</v>
      </c>
      <c r="C2111">
        <v>24000000</v>
      </c>
      <c r="D2111">
        <v>50250</v>
      </c>
    </row>
    <row r="2112" spans="1:4" x14ac:dyDescent="0.25">
      <c r="A2112" t="str">
        <f>T("   581092")</f>
        <v xml:space="preserve">   581092</v>
      </c>
      <c r="B2112" t="str">
        <f>T("   Broderies de fibres synthétiques ou artificielles, sur support de matières textiles, en pièces, en bandes ou en motifs (à l'excl. des broderies chimiques ou aériennes ainsi que des broderies à fond découpé)")</f>
        <v xml:space="preserve">   Broderies de fibres synthétiques ou artificielles, sur support de matières textiles, en pièces, en bandes ou en motifs (à l'excl. des broderies chimiques ou aériennes ainsi que des broderies à fond découpé)</v>
      </c>
      <c r="C2112">
        <v>315738</v>
      </c>
      <c r="D2112">
        <v>2190</v>
      </c>
    </row>
    <row r="2113" spans="1:4" x14ac:dyDescent="0.25">
      <c r="A2113" t="str">
        <f>T("   581099")</f>
        <v xml:space="preserve">   581099</v>
      </c>
      <c r="B2113" t="str">
        <f>T("   Broderies de matières textiles, sur support de matières textiles, en pièces, en bandes ou en motifs (à l'excl. des broderies en coton ou en fibres synthétiques ou artificielles, des broderies chimiques ou aériennes et des broderies à fond découpé)")</f>
        <v xml:space="preserve">   Broderies de matières textiles, sur support de matières textiles, en pièces, en bandes ou en motifs (à l'excl. des broderies en coton ou en fibres synthétiques ou artificielles, des broderies chimiques ou aériennes et des broderies à fond découpé)</v>
      </c>
      <c r="C2113">
        <v>579943907</v>
      </c>
      <c r="D2113">
        <v>1072856</v>
      </c>
    </row>
    <row r="2114" spans="1:4" x14ac:dyDescent="0.25">
      <c r="A2114" t="str">
        <f>T("   590110")</f>
        <v xml:space="preserve">   590110</v>
      </c>
      <c r="B2114" t="str">
        <f>T("   Tissus enduits de colle ou de matières amylacées, des types utilisés pour la reliure, le cartonnage, la gainerie ou usages simil.")</f>
        <v xml:space="preserve">   Tissus enduits de colle ou de matières amylacées, des types utilisés pour la reliure, le cartonnage, la gainerie ou usages simil.</v>
      </c>
      <c r="C2114">
        <v>3495904</v>
      </c>
      <c r="D2114">
        <v>6171</v>
      </c>
    </row>
    <row r="2115" spans="1:4" x14ac:dyDescent="0.25">
      <c r="A2115" t="str">
        <f>T("   590190")</f>
        <v xml:space="preserve">   590190</v>
      </c>
      <c r="B2115" t="str">
        <f>T("   Toiles à calquer ou transparentes pour le dessin; toiles préparées pour la peinture; bougran et tissus simil. raidis des types utilisés pour la chapellerie (à l'excl. des tissus enduits de matière plastique)")</f>
        <v xml:space="preserve">   Toiles à calquer ou transparentes pour le dessin; toiles préparées pour la peinture; bougran et tissus simil. raidis des types utilisés pour la chapellerie (à l'excl. des tissus enduits de matière plastique)</v>
      </c>
      <c r="C2115">
        <v>21500000</v>
      </c>
      <c r="D2115">
        <v>196110</v>
      </c>
    </row>
    <row r="2116" spans="1:4" x14ac:dyDescent="0.25">
      <c r="A2116" t="str">
        <f>T("   590310")</f>
        <v xml:space="preserve">   590310</v>
      </c>
      <c r="B2116" t="s">
        <v>256</v>
      </c>
      <c r="C2116">
        <v>9174477</v>
      </c>
      <c r="D2116">
        <v>9495</v>
      </c>
    </row>
    <row r="2117" spans="1:4" x14ac:dyDescent="0.25">
      <c r="A2117" t="str">
        <f>T("   610190")</f>
        <v xml:space="preserve">   610190</v>
      </c>
      <c r="B2117" t="s">
        <v>258</v>
      </c>
      <c r="C2117">
        <v>400000</v>
      </c>
      <c r="D2117">
        <v>500</v>
      </c>
    </row>
    <row r="2118" spans="1:4" x14ac:dyDescent="0.25">
      <c r="A2118" t="str">
        <f>T("   610349")</f>
        <v xml:space="preserve">   610349</v>
      </c>
      <c r="B2118" t="str">
        <f>T("   PANTALONS, Y.C. KNICKERS ET PANTALONS SIMIL., SALOPETTES À BRETELLES, CULOTTES ET SHORTS, EN BONNETERIE, DE MATIÈRES TEXTILES, POUR HOMMES OU GARÇONNETS (SAUF DE LAINE, POILS FINS, COTON OU FIBRES SYNTHÉTIQUES ET SAUF CALETHONS ET SLIPS DE BAIN)")</f>
        <v xml:space="preserve">   PANTALONS, Y.C. KNICKERS ET PANTALONS SIMIL., SALOPETTES À BRETELLES, CULOTTES ET SHORTS, EN BONNETERIE, DE MATIÈRES TEXTILES, POUR HOMMES OU GARÇONNETS (SAUF DE LAINE, POILS FINS, COTON OU FIBRES SYNTHÉTIQUES ET SAUF CALETHONS ET SLIPS DE BAIN)</v>
      </c>
      <c r="C2118">
        <v>24573673</v>
      </c>
      <c r="D2118">
        <v>71267</v>
      </c>
    </row>
    <row r="2119" spans="1:4" x14ac:dyDescent="0.25">
      <c r="A2119" t="str">
        <f>T("   610449")</f>
        <v xml:space="preserve">   610449</v>
      </c>
      <c r="B2119" t="str">
        <f>T("   Robes en bonneterie, de matières textiles, pour femmes ou fillettes (sauf de laine, poils fins, coton, fibres synthétiques ou artificielles et sauf combinaisons et fonds de robes)")</f>
        <v xml:space="preserve">   Robes en bonneterie, de matières textiles, pour femmes ou fillettes (sauf de laine, poils fins, coton, fibres synthétiques ou artificielles et sauf combinaisons et fonds de robes)</v>
      </c>
      <c r="C2119">
        <v>287130</v>
      </c>
      <c r="D2119">
        <v>12</v>
      </c>
    </row>
    <row r="2120" spans="1:4" x14ac:dyDescent="0.25">
      <c r="A2120" t="str">
        <f>T("   610452")</f>
        <v xml:space="preserve">   610452</v>
      </c>
      <c r="B2120" t="str">
        <f>T("   Jupes et jupes-culottes, en bonneterie, de coton, pour femmes ou fillettes (sauf jupons)")</f>
        <v xml:space="preserve">   Jupes et jupes-culottes, en bonneterie, de coton, pour femmes ou fillettes (sauf jupons)</v>
      </c>
      <c r="C2120">
        <v>6423290</v>
      </c>
      <c r="D2120">
        <v>9196</v>
      </c>
    </row>
    <row r="2121" spans="1:4" x14ac:dyDescent="0.25">
      <c r="A2121" t="str">
        <f>T("   610469")</f>
        <v xml:space="preserve">   610469</v>
      </c>
      <c r="B2121" t="s">
        <v>259</v>
      </c>
      <c r="C2121">
        <v>2296231</v>
      </c>
      <c r="D2121">
        <v>2960</v>
      </c>
    </row>
    <row r="2122" spans="1:4" x14ac:dyDescent="0.25">
      <c r="A2122" t="str">
        <f>T("   610510")</f>
        <v xml:space="preserve">   610510</v>
      </c>
      <c r="B2122" t="str">
        <f>T("   Chemises et chemisettes, en bonneterie, de coton, pour hommes ou garçonnets (sauf chemises de nuit, T-shirts et maillots de corps)")</f>
        <v xml:space="preserve">   Chemises et chemisettes, en bonneterie, de coton, pour hommes ou garçonnets (sauf chemises de nuit, T-shirts et maillots de corps)</v>
      </c>
      <c r="C2122">
        <v>98668</v>
      </c>
      <c r="D2122">
        <v>35</v>
      </c>
    </row>
    <row r="2123" spans="1:4" x14ac:dyDescent="0.25">
      <c r="A2123" t="str">
        <f>T("   610590")</f>
        <v xml:space="preserve">   610590</v>
      </c>
      <c r="B2123" t="str">
        <f>T("   Chemises et chemisettes, en bonneterie, de matières textiles, pour hommes ou garçonnets (sauf de coton, fibres synthétiques ou artificielles et sauf chemises de nuit, T-shirts et maillots de corps)")</f>
        <v xml:space="preserve">   Chemises et chemisettes, en bonneterie, de matières textiles, pour hommes ou garçonnets (sauf de coton, fibres synthétiques ou artificielles et sauf chemises de nuit, T-shirts et maillots de corps)</v>
      </c>
      <c r="C2123">
        <v>231088930</v>
      </c>
      <c r="D2123">
        <v>545000</v>
      </c>
    </row>
    <row r="2124" spans="1:4" x14ac:dyDescent="0.25">
      <c r="A2124" t="str">
        <f>T("   610690")</f>
        <v xml:space="preserve">   610690</v>
      </c>
      <c r="B2124" t="str">
        <f>T("   Chemisiers, blouses, blouses-chemisiers et chemisettes, en bonneterie, de matières textiles, pour femmes ou fillettes (sauf de coton, fibres synthétiques ou artificielles et sauf T-shirts et gilets de corps)")</f>
        <v xml:space="preserve">   Chemisiers, blouses, blouses-chemisiers et chemisettes, en bonneterie, de matières textiles, pour femmes ou fillettes (sauf de coton, fibres synthétiques ou artificielles et sauf T-shirts et gilets de corps)</v>
      </c>
      <c r="C2124">
        <v>10583375</v>
      </c>
      <c r="D2124">
        <v>21696</v>
      </c>
    </row>
    <row r="2125" spans="1:4" x14ac:dyDescent="0.25">
      <c r="A2125" t="str">
        <f>T("   610712")</f>
        <v xml:space="preserve">   610712</v>
      </c>
      <c r="B2125" t="str">
        <f>T("   SLIPS ET CALETHONS, EN BONNETERIE, DE FIBRES SYNTHÉTIQUES OU ARTIFICIELLES, POUR HOMMES OU GARÇONNETS")</f>
        <v xml:space="preserve">   SLIPS ET CALETHONS, EN BONNETERIE, DE FIBRES SYNTHÉTIQUES OU ARTIFICIELLES, POUR HOMMES OU GARÇONNETS</v>
      </c>
      <c r="C2125">
        <v>8273011</v>
      </c>
      <c r="D2125">
        <v>10970</v>
      </c>
    </row>
    <row r="2126" spans="1:4" x14ac:dyDescent="0.25">
      <c r="A2126" t="str">
        <f>T("   610719")</f>
        <v xml:space="preserve">   610719</v>
      </c>
      <c r="B2126" t="str">
        <f>T("   SLIPS ET CALETHONS, EN BONNETERIE, DE MATIÈRES TEXTILES, POUR HOMMES OU GARÇONNETS (SAUF DE COTON OU FIBRES SYNTHÉTIQUES OU ARTIFICIELLES)")</f>
        <v xml:space="preserve">   SLIPS ET CALETHONS, EN BONNETERIE, DE MATIÈRES TEXTILES, POUR HOMMES OU GARÇONNETS (SAUF DE COTON OU FIBRES SYNTHÉTIQUES OU ARTIFICIELLES)</v>
      </c>
      <c r="C2126">
        <v>74693552</v>
      </c>
      <c r="D2126">
        <v>205563</v>
      </c>
    </row>
    <row r="2127" spans="1:4" x14ac:dyDescent="0.25">
      <c r="A2127" t="str">
        <f>T("   610799")</f>
        <v xml:space="preserve">   610799</v>
      </c>
      <c r="B2127" t="str">
        <f>T("   Peignoirs de bain, robes de chambre et articles simil., en bonneterie, de matières textiles, pour hommes ou garçonnets (sauf de coton ou fibres synthétiques ou artificielles)")</f>
        <v xml:space="preserve">   Peignoirs de bain, robes de chambre et articles simil., en bonneterie, de matières textiles, pour hommes ou garçonnets (sauf de coton ou fibres synthétiques ou artificielles)</v>
      </c>
      <c r="C2127">
        <v>7258000</v>
      </c>
      <c r="D2127">
        <v>12000</v>
      </c>
    </row>
    <row r="2128" spans="1:4" x14ac:dyDescent="0.25">
      <c r="A2128" t="str">
        <f>T("   610829")</f>
        <v xml:space="preserve">   610829</v>
      </c>
      <c r="B2128" t="str">
        <f>T("   Slips et culottes, en bonneterie, de matières textiles, pour femmes ou fillettes (sauf de coton ou fibres synthétiques ou artificielles)")</f>
        <v xml:space="preserve">   Slips et culottes, en bonneterie, de matières textiles, pour femmes ou fillettes (sauf de coton ou fibres synthétiques ou artificielles)</v>
      </c>
      <c r="C2128">
        <v>248548576</v>
      </c>
      <c r="D2128">
        <v>422152</v>
      </c>
    </row>
    <row r="2129" spans="1:4" x14ac:dyDescent="0.25">
      <c r="A2129" t="str">
        <f>T("   610839")</f>
        <v xml:space="preserve">   610839</v>
      </c>
      <c r="B2129" t="str">
        <f>T("   Chemises de nuit et pyjamas, en bonneterie, de matières textiles, pour femmes ou fillettes (sauf de coton ou de fibres synthétiques ou artificielles et sauf T-shirts, gilets de corps et déshabillés)")</f>
        <v xml:space="preserve">   Chemises de nuit et pyjamas, en bonneterie, de matières textiles, pour femmes ou fillettes (sauf de coton ou de fibres synthétiques ou artificielles et sauf T-shirts, gilets de corps et déshabillés)</v>
      </c>
      <c r="C2129">
        <v>835037</v>
      </c>
      <c r="D2129">
        <v>1110</v>
      </c>
    </row>
    <row r="2130" spans="1:4" x14ac:dyDescent="0.25">
      <c r="A2130" t="str">
        <f>T("   610899")</f>
        <v xml:space="preserve">   610899</v>
      </c>
      <c r="B2130" t="s">
        <v>260</v>
      </c>
      <c r="C2130">
        <v>9482576</v>
      </c>
      <c r="D2130">
        <v>19016</v>
      </c>
    </row>
    <row r="2131" spans="1:4" x14ac:dyDescent="0.25">
      <c r="A2131" t="str">
        <f>T("   610910")</f>
        <v xml:space="preserve">   610910</v>
      </c>
      <c r="B2131" t="str">
        <f>T("   T-shirts et maillots de corps, en bonneterie, de coton,")</f>
        <v xml:space="preserve">   T-shirts et maillots de corps, en bonneterie, de coton,</v>
      </c>
      <c r="C2131">
        <v>99473511</v>
      </c>
      <c r="D2131">
        <v>221501</v>
      </c>
    </row>
    <row r="2132" spans="1:4" x14ac:dyDescent="0.25">
      <c r="A2132" t="str">
        <f>T("   610990")</f>
        <v xml:space="preserve">   610990</v>
      </c>
      <c r="B2132" t="str">
        <f>T("   T-shirts et maillots de corps, en bonneterie, de matières textiles (sauf de coton)")</f>
        <v xml:space="preserve">   T-shirts et maillots de corps, en bonneterie, de matières textiles (sauf de coton)</v>
      </c>
      <c r="C2132">
        <v>3461402302</v>
      </c>
      <c r="D2132">
        <v>11690683.4</v>
      </c>
    </row>
    <row r="2133" spans="1:4" x14ac:dyDescent="0.25">
      <c r="A2133" t="str">
        <f>T("   611190")</f>
        <v xml:space="preserve">   611190</v>
      </c>
      <c r="B2133" t="str">
        <f>T("   VÊTEMENTS ET ACCESSOIRES DU VÊTEMENT, EN BONNETERIE, DE MATIÈRES TEXTILES, POUR BÉBÉS (SAUF DE COTON, FIBRES SYNTHÉTIQUES ET SAUF BONNETS)")</f>
        <v xml:space="preserve">   VÊTEMENTS ET ACCESSOIRES DU VÊTEMENT, EN BONNETERIE, DE MATIÈRES TEXTILES, POUR BÉBÉS (SAUF DE COTON, FIBRES SYNTHÉTIQUES ET SAUF BONNETS)</v>
      </c>
      <c r="C2133">
        <v>468091881</v>
      </c>
      <c r="D2133">
        <v>1356520</v>
      </c>
    </row>
    <row r="2134" spans="1:4" x14ac:dyDescent="0.25">
      <c r="A2134" t="str">
        <f>T("   611239")</f>
        <v xml:space="preserve">   611239</v>
      </c>
      <c r="B2134" t="str">
        <f>T("   Maillots, culottes et slips de bain, en bonneterie, de matières textiles, pour hommes ou garçonnets (sauf de fibres synthétiques)")</f>
        <v xml:space="preserve">   Maillots, culottes et slips de bain, en bonneterie, de matières textiles, pour hommes ou garçonnets (sauf de fibres synthétiques)</v>
      </c>
      <c r="C2134">
        <v>1554929</v>
      </c>
      <c r="D2134">
        <v>2813</v>
      </c>
    </row>
    <row r="2135" spans="1:4" x14ac:dyDescent="0.25">
      <c r="A2135" t="str">
        <f>T("   611249")</f>
        <v xml:space="preserve">   611249</v>
      </c>
      <c r="B2135" t="str">
        <f>T("   Maillots, culottes et slips de bain, en bonneterie, de matières textiles, pour femmes ou fillettes (sauf de fibres synthétiques)")</f>
        <v xml:space="preserve">   Maillots, culottes et slips de bain, en bonneterie, de matières textiles, pour femmes ou fillettes (sauf de fibres synthétiques)</v>
      </c>
      <c r="C2135">
        <v>8121673</v>
      </c>
      <c r="D2135">
        <v>15000</v>
      </c>
    </row>
    <row r="2136" spans="1:4" x14ac:dyDescent="0.25">
      <c r="A2136" t="str">
        <f>T("   611420")</f>
        <v xml:space="preserve">   611420</v>
      </c>
      <c r="B2136" t="str">
        <f>T("   Vêtements spéciaux destinés à des fins professionnelles, sportives ou autres n.d.a., en bonneterie, de coton")</f>
        <v xml:space="preserve">   Vêtements spéciaux destinés à des fins professionnelles, sportives ou autres n.d.a., en bonneterie, de coton</v>
      </c>
      <c r="C2136">
        <v>7258124</v>
      </c>
      <c r="D2136">
        <v>16500</v>
      </c>
    </row>
    <row r="2137" spans="1:4" x14ac:dyDescent="0.25">
      <c r="A2137" t="str">
        <f>T("   611490")</f>
        <v xml:space="preserve">   611490</v>
      </c>
      <c r="B2137" t="str">
        <f>T("   Vêtements spéciaux destinés à des fins professionnelles, sportives ou autres n.d.a., en bonneterie, de matières textiles (sauf de laine, poils fins, coton, fibres synthétiques ou artificielles)")</f>
        <v xml:space="preserve">   Vêtements spéciaux destinés à des fins professionnelles, sportives ou autres n.d.a., en bonneterie, de matières textiles (sauf de laine, poils fins, coton, fibres synthétiques ou artificielles)</v>
      </c>
      <c r="C2137">
        <v>939103912</v>
      </c>
      <c r="D2137">
        <v>2650844</v>
      </c>
    </row>
    <row r="2138" spans="1:4" x14ac:dyDescent="0.25">
      <c r="A2138" t="str">
        <f>T("   611599")</f>
        <v xml:space="preserve">   611599</v>
      </c>
      <c r="B2138" t="s">
        <v>261</v>
      </c>
      <c r="C2138">
        <v>4387082</v>
      </c>
      <c r="D2138">
        <v>4630</v>
      </c>
    </row>
    <row r="2139" spans="1:4" x14ac:dyDescent="0.25">
      <c r="A2139" t="str">
        <f>T("   611610")</f>
        <v xml:space="preserve">   611610</v>
      </c>
      <c r="B2139" t="str">
        <f>T("   Gants, mitaines et moufles, en bonneterie, imprégnés, enduits ou recouverts de matières plastiques ou de caoutchouc (sauf pour bébés)")</f>
        <v xml:space="preserve">   Gants, mitaines et moufles, en bonneterie, imprégnés, enduits ou recouverts de matières plastiques ou de caoutchouc (sauf pour bébés)</v>
      </c>
      <c r="C2139">
        <v>1740813</v>
      </c>
      <c r="D2139">
        <v>325</v>
      </c>
    </row>
    <row r="2140" spans="1:4" x14ac:dyDescent="0.25">
      <c r="A2140" t="str">
        <f>T("   611710")</f>
        <v xml:space="preserve">   611710</v>
      </c>
      <c r="B2140" t="str">
        <f>T("   Châles, écharpes, foulards, cache-nez, cache-col, mantilles, voiles, voilettes et articles simil., en bonneterie")</f>
        <v xml:space="preserve">   Châles, écharpes, foulards, cache-nez, cache-col, mantilles, voiles, voilettes et articles simil., en bonneterie</v>
      </c>
      <c r="C2140">
        <v>11629318</v>
      </c>
      <c r="D2140">
        <v>17914</v>
      </c>
    </row>
    <row r="2141" spans="1:4" x14ac:dyDescent="0.25">
      <c r="A2141" t="str">
        <f>T("   611720")</f>
        <v xml:space="preserve">   611720</v>
      </c>
      <c r="B2141" t="str">
        <f>T("   Cravates, noeuds papillons et foulards cravates, en bonneterie")</f>
        <v xml:space="preserve">   Cravates, noeuds papillons et foulards cravates, en bonneterie</v>
      </c>
      <c r="C2141">
        <v>24184</v>
      </c>
      <c r="D2141">
        <v>156</v>
      </c>
    </row>
    <row r="2142" spans="1:4" x14ac:dyDescent="0.25">
      <c r="A2142" t="str">
        <f>T("   611780")</f>
        <v xml:space="preserve">   611780</v>
      </c>
      <c r="B2142" t="str">
        <f>T("   CRAVATES, NOEUDS PAPILLONS, FOULARDS CRAVATES ET AUTRES ACCESSOIRES CONFECTIONNÉS DU VÊTEMENT, EN BONNETERIE, N.D.A. (SAUF CHÂLES, ÉCHARPES, FOULARDS, CACHE-NEZ, CACHE-COL, MANTILLES, VOILES, VOILETTES ET ARTICLES SIMIL.)")</f>
        <v xml:space="preserve">   CRAVATES, NOEUDS PAPILLONS, FOULARDS CRAVATES ET AUTRES ACCESSOIRES CONFECTIONNÉS DU VÊTEMENT, EN BONNETERIE, N.D.A. (SAUF CHÂLES, ÉCHARPES, FOULARDS, CACHE-NEZ, CACHE-COL, MANTILLES, VOILES, VOILETTES ET ARTICLES SIMIL.)</v>
      </c>
      <c r="C2142">
        <v>1470051</v>
      </c>
      <c r="D2142">
        <v>4230</v>
      </c>
    </row>
    <row r="2143" spans="1:4" x14ac:dyDescent="0.25">
      <c r="A2143" t="str">
        <f>T("   620193")</f>
        <v xml:space="preserve">   620193</v>
      </c>
      <c r="B2143" t="s">
        <v>263</v>
      </c>
      <c r="C2143">
        <v>4642814</v>
      </c>
      <c r="D2143">
        <v>27336</v>
      </c>
    </row>
    <row r="2144" spans="1:4" x14ac:dyDescent="0.25">
      <c r="A2144" t="str">
        <f>T("   620199")</f>
        <v xml:space="preserve">   620199</v>
      </c>
      <c r="B2144" t="s">
        <v>264</v>
      </c>
      <c r="C2144">
        <v>98668</v>
      </c>
      <c r="D2144">
        <v>235</v>
      </c>
    </row>
    <row r="2145" spans="1:4" x14ac:dyDescent="0.25">
      <c r="A2145" t="str">
        <f>T("   620213")</f>
        <v xml:space="preserve">   620213</v>
      </c>
      <c r="B2145" t="str">
        <f>T("   Manteaux, imperméables, cabans, capes et articles simil., de fibres synthétiques ou artificielles, pour femmes ou fillettes (à l'excl. des articles en bonneterie)")</f>
        <v xml:space="preserve">   Manteaux, imperméables, cabans, capes et articles simil., de fibres synthétiques ou artificielles, pour femmes ou fillettes (à l'excl. des articles en bonneterie)</v>
      </c>
      <c r="C2145">
        <v>1728456</v>
      </c>
      <c r="D2145">
        <v>2111</v>
      </c>
    </row>
    <row r="2146" spans="1:4" x14ac:dyDescent="0.25">
      <c r="A2146" t="str">
        <f>T("   620319")</f>
        <v xml:space="preserve">   620319</v>
      </c>
      <c r="B2146" t="s">
        <v>265</v>
      </c>
      <c r="C2146">
        <v>132389844</v>
      </c>
      <c r="D2146">
        <v>187001</v>
      </c>
    </row>
    <row r="2147" spans="1:4" x14ac:dyDescent="0.25">
      <c r="A2147" t="str">
        <f>T("   620322")</f>
        <v xml:space="preserve">   620322</v>
      </c>
      <c r="B2147" t="str">
        <f>T("   Ensembles de coton, pour hommes ou garçonnets (autres qu'en bonneterie et sauf ensembles de ski et maillots, culottes et slips de bain)")</f>
        <v xml:space="preserve">   Ensembles de coton, pour hommes ou garçonnets (autres qu'en bonneterie et sauf ensembles de ski et maillots, culottes et slips de bain)</v>
      </c>
      <c r="C2147">
        <v>16186853</v>
      </c>
      <c r="D2147">
        <v>13337</v>
      </c>
    </row>
    <row r="2148" spans="1:4" x14ac:dyDescent="0.25">
      <c r="A2148" t="str">
        <f>T("   620329")</f>
        <v xml:space="preserve">   620329</v>
      </c>
      <c r="B2148" t="str">
        <f>T("   ENSEMBLES DE MATIÈRES TEXTILES, POUR HOMMES OU GARÇONNETS (AUTRES QUE DE COTON OU FIBRES SYNTHÉTIQUES, AUTRES QU'EN BONNETERIE ET SAUF ENSEMBLES DE SKI ET MAILLOTS, CULOTTES ET SLIPS DE BAIN)")</f>
        <v xml:space="preserve">   ENSEMBLES DE MATIÈRES TEXTILES, POUR HOMMES OU GARÇONNETS (AUTRES QUE DE COTON OU FIBRES SYNTHÉTIQUES, AUTRES QU'EN BONNETERIE ET SAUF ENSEMBLES DE SKI ET MAILLOTS, CULOTTES ET SLIPS DE BAIN)</v>
      </c>
      <c r="C2148">
        <v>29774636</v>
      </c>
      <c r="D2148">
        <v>43250</v>
      </c>
    </row>
    <row r="2149" spans="1:4" x14ac:dyDescent="0.25">
      <c r="A2149" t="str">
        <f>T("   620342")</f>
        <v xml:space="preserve">   620342</v>
      </c>
      <c r="B2149" t="str">
        <f>T("   Pantalons, y.c. knickers et pantalons simil., salopettes à bretelles, culottes et shorts, de coton, pour hommes ou garçonnets (autres qu'en bonneterie et sauf slips et caleçons ainsi que maillots, culottes et slips de bain)")</f>
        <v xml:space="preserve">   Pantalons, y.c. knickers et pantalons simil., salopettes à bretelles, culottes et shorts, de coton, pour hommes ou garçonnets (autres qu'en bonneterie et sauf slips et caleçons ainsi que maillots, culottes et slips de bain)</v>
      </c>
      <c r="C2149">
        <v>3455817693</v>
      </c>
      <c r="D2149">
        <v>6366346</v>
      </c>
    </row>
    <row r="2150" spans="1:4" x14ac:dyDescent="0.25">
      <c r="A2150" t="str">
        <f>T("   620349")</f>
        <v xml:space="preserve">   620349</v>
      </c>
      <c r="B2150" t="s">
        <v>266</v>
      </c>
      <c r="C2150">
        <v>1466192314</v>
      </c>
      <c r="D2150">
        <v>2863660</v>
      </c>
    </row>
    <row r="2151" spans="1:4" x14ac:dyDescent="0.25">
      <c r="A2151" t="str">
        <f>T("   620419")</f>
        <v xml:space="preserve">   620419</v>
      </c>
      <c r="B2151" t="str">
        <f>T("   Costumes tailleurs, de matières textiles, pour femmes ou fillettes (autres que laine, poils fins, coton ou fibres synthétiques, autres qu'en bonneterie et sauf combinaisons de ski et vêtements de bain)")</f>
        <v xml:space="preserve">   Costumes tailleurs, de matières textiles, pour femmes ou fillettes (autres que laine, poils fins, coton ou fibres synthétiques, autres qu'en bonneterie et sauf combinaisons de ski et vêtements de bain)</v>
      </c>
      <c r="C2151">
        <v>3000131</v>
      </c>
      <c r="D2151">
        <v>5497</v>
      </c>
    </row>
    <row r="2152" spans="1:4" x14ac:dyDescent="0.25">
      <c r="A2152" t="str">
        <f>T("   620439")</f>
        <v xml:space="preserve">   620439</v>
      </c>
      <c r="B2152" t="str">
        <f>T("   Vestes de matières textiles, pour femmes ou fillettes (autres que laine, poils fins, coton ou fibres synthétiques, autres qu'en bonneterie et sauf anoraks et articles simil.)")</f>
        <v xml:space="preserve">   Vestes de matières textiles, pour femmes ou fillettes (autres que laine, poils fins, coton ou fibres synthétiques, autres qu'en bonneterie et sauf anoraks et articles simil.)</v>
      </c>
      <c r="C2152">
        <v>500034</v>
      </c>
      <c r="D2152">
        <v>924</v>
      </c>
    </row>
    <row r="2153" spans="1:4" x14ac:dyDescent="0.25">
      <c r="A2153" t="str">
        <f>T("   620449")</f>
        <v xml:space="preserve">   620449</v>
      </c>
      <c r="B2153" t="str">
        <f>T("   Robes de matières textiles, pour femmes ou fillettes (autres que laine, poils fins, coton, fibres synthétiques ou artificielles, autres qu'en bonneterie et sauf combinaisons et fonds de robes)")</f>
        <v xml:space="preserve">   Robes de matières textiles, pour femmes ou fillettes (autres que laine, poils fins, coton, fibres synthétiques ou artificielles, autres qu'en bonneterie et sauf combinaisons et fonds de robes)</v>
      </c>
      <c r="C2153">
        <v>82958</v>
      </c>
      <c r="D2153">
        <v>5830</v>
      </c>
    </row>
    <row r="2154" spans="1:4" x14ac:dyDescent="0.25">
      <c r="A2154" t="str">
        <f>T("   620459")</f>
        <v xml:space="preserve">   620459</v>
      </c>
      <c r="B2154" t="str">
        <f>T("   Jupes et jupes-culottes, de matières textiles, pour femmes ou fillettes (autres que de laine, poils fins, coton ou fibres synthétiques, autres qu'en bonneterie et sauf jupons)")</f>
        <v xml:space="preserve">   Jupes et jupes-culottes, de matières textiles, pour femmes ou fillettes (autres que de laine, poils fins, coton ou fibres synthétiques, autres qu'en bonneterie et sauf jupons)</v>
      </c>
      <c r="C2154">
        <v>78715</v>
      </c>
      <c r="D2154">
        <v>250</v>
      </c>
    </row>
    <row r="2155" spans="1:4" x14ac:dyDescent="0.25">
      <c r="A2155" t="str">
        <f>T("   620520")</f>
        <v xml:space="preserve">   620520</v>
      </c>
      <c r="B2155" t="str">
        <f>T("   Chemises et chemisettes, de coton, pour hommes ou garçonnets (autres qu'en bonneterie et sauf chemises de nuit et gilets de corps)")</f>
        <v xml:space="preserve">   Chemises et chemisettes, de coton, pour hommes ou garçonnets (autres qu'en bonneterie et sauf chemises de nuit et gilets de corps)</v>
      </c>
      <c r="C2155">
        <v>4565330</v>
      </c>
      <c r="D2155">
        <v>1518</v>
      </c>
    </row>
    <row r="2156" spans="1:4" x14ac:dyDescent="0.25">
      <c r="A2156" t="str">
        <f>T("   620590")</f>
        <v xml:space="preserve">   620590</v>
      </c>
      <c r="B2156"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2156">
        <v>58807828</v>
      </c>
      <c r="D2156">
        <v>105402</v>
      </c>
    </row>
    <row r="2157" spans="1:4" x14ac:dyDescent="0.25">
      <c r="A2157" t="str">
        <f>T("   620719")</f>
        <v xml:space="preserve">   620719</v>
      </c>
      <c r="B2157" t="str">
        <f>T("   SLIPS ET CALETHONS, DE MATIÈRES TEXTILES, POUR HOMMES OU GARÇONNETS (AUTRES QUE DE COTON ET AUTRES QU'EN BONNETERIE)")</f>
        <v xml:space="preserve">   SLIPS ET CALETHONS, DE MATIÈRES TEXTILES, POUR HOMMES OU GARÇONNETS (AUTRES QUE DE COTON ET AUTRES QU'EN BONNETERIE)</v>
      </c>
      <c r="C2157">
        <v>15498395</v>
      </c>
      <c r="D2157">
        <v>37402</v>
      </c>
    </row>
    <row r="2158" spans="1:4" x14ac:dyDescent="0.25">
      <c r="A2158" t="str">
        <f>T("   620829")</f>
        <v xml:space="preserve">   620829</v>
      </c>
      <c r="B2158" t="str">
        <f>T("   Chemises de nuit et pyjamas, de matières textiles, pour femmes ou fillettes (autres que de coton, fibres synthétiques ou artificielles, autres qu'en bonneterie et sauf gilets de corps, chemises de jour et déshabillés)")</f>
        <v xml:space="preserve">   Chemises de nuit et pyjamas, de matières textiles, pour femmes ou fillettes (autres que de coton, fibres synthétiques ou artificielles, autres qu'en bonneterie et sauf gilets de corps, chemises de jour et déshabillés)</v>
      </c>
      <c r="C2158">
        <v>5081463</v>
      </c>
      <c r="D2158">
        <v>20100</v>
      </c>
    </row>
    <row r="2159" spans="1:4" x14ac:dyDescent="0.25">
      <c r="A2159" t="str">
        <f>T("   620891")</f>
        <v xml:space="preserve">   620891</v>
      </c>
      <c r="B2159" t="s">
        <v>269</v>
      </c>
      <c r="C2159">
        <v>210891</v>
      </c>
      <c r="D2159">
        <v>255</v>
      </c>
    </row>
    <row r="2160" spans="1:4" x14ac:dyDescent="0.25">
      <c r="A2160" t="str">
        <f>T("   620899")</f>
        <v xml:space="preserve">   620899</v>
      </c>
      <c r="B2160" t="s">
        <v>270</v>
      </c>
      <c r="C2160">
        <v>1366366</v>
      </c>
      <c r="D2160">
        <v>2015</v>
      </c>
    </row>
    <row r="2161" spans="1:4" x14ac:dyDescent="0.25">
      <c r="A2161" t="str">
        <f>T("   620920")</f>
        <v xml:space="preserve">   620920</v>
      </c>
      <c r="B2161" t="str">
        <f>T("   Vêtements et accessoires du vêtement, de coton, pour bébés (autres qu'en bonneterie et sauf bonnets)")</f>
        <v xml:space="preserve">   Vêtements et accessoires du vêtement, de coton, pour bébés (autres qu'en bonneterie et sauf bonnets)</v>
      </c>
      <c r="C2161">
        <v>7258318</v>
      </c>
      <c r="D2161">
        <v>14800</v>
      </c>
    </row>
    <row r="2162" spans="1:4" x14ac:dyDescent="0.25">
      <c r="A2162" t="str">
        <f>T("   620990")</f>
        <v xml:space="preserve">   620990</v>
      </c>
      <c r="B2162" t="str">
        <f>T("   VÊTEMENTS ET ACCESSOIRES DU VÊTEMENT, DE MATIÈRES TEXTILES, POUR BÉBÉS (AUTRES QUE DE COTON, FIBRES SYNTHÉTIQUES, AUTRES QU'EN BONNETERIE ET SAUF BONNETS)")</f>
        <v xml:space="preserve">   VÊTEMENTS ET ACCESSOIRES DU VÊTEMENT, DE MATIÈRES TEXTILES, POUR BÉBÉS (AUTRES QUE DE COTON, FIBRES SYNTHÉTIQUES, AUTRES QU'EN BONNETERIE ET SAUF BONNETS)</v>
      </c>
      <c r="C2162">
        <v>9266000</v>
      </c>
      <c r="D2162">
        <v>18275</v>
      </c>
    </row>
    <row r="2163" spans="1:4" x14ac:dyDescent="0.25">
      <c r="A2163" t="str">
        <f>T("   621020")</f>
        <v xml:space="preserve">   621020</v>
      </c>
      <c r="B2163" t="str">
        <f>T("   Vêtements des types du n° 6201.11 à 6201.19 [manteaux, cabans, capes et articles simil.], caoutchoutés ou imprégnés, enduits ou recouverts de matière plastique ou d'autres substances")</f>
        <v xml:space="preserve">   Vêtements des types du n° 6201.11 à 6201.19 [manteaux, cabans, capes et articles simil.], caoutchoutés ou imprégnés, enduits ou recouverts de matière plastique ou d'autres substances</v>
      </c>
      <c r="C2163">
        <v>19352954</v>
      </c>
      <c r="D2163">
        <v>32000</v>
      </c>
    </row>
    <row r="2164" spans="1:4" x14ac:dyDescent="0.25">
      <c r="A2164" t="str">
        <f>T("   621030")</f>
        <v xml:space="preserve">   621030</v>
      </c>
      <c r="B2164" t="str">
        <f>T("   Vêtements des types du n° 6202.11 à 6202.19 [manteaux, cabans, capes et articles simil.], caoutchoutés ou imprégnés, enduits ou recouverts de matière plastique ou d'autres substances")</f>
        <v xml:space="preserve">   Vêtements des types du n° 6202.11 à 6202.19 [manteaux, cabans, capes et articles simil.], caoutchoutés ou imprégnés, enduits ou recouverts de matière plastique ou d'autres substances</v>
      </c>
      <c r="C2164">
        <v>766481</v>
      </c>
      <c r="D2164">
        <v>967</v>
      </c>
    </row>
    <row r="2165" spans="1:4" x14ac:dyDescent="0.25">
      <c r="A2165" t="str">
        <f>T("   621040")</f>
        <v xml:space="preserve">   621040</v>
      </c>
      <c r="B2165" t="s">
        <v>271</v>
      </c>
      <c r="C2165">
        <v>4169387204</v>
      </c>
      <c r="D2165">
        <v>8788656</v>
      </c>
    </row>
    <row r="2166" spans="1:4" x14ac:dyDescent="0.25">
      <c r="A2166" t="str">
        <f>T("   621050")</f>
        <v xml:space="preserve">   621050</v>
      </c>
      <c r="B2166" t="s">
        <v>272</v>
      </c>
      <c r="C2166">
        <v>22241825</v>
      </c>
      <c r="D2166">
        <v>37130</v>
      </c>
    </row>
    <row r="2167" spans="1:4" x14ac:dyDescent="0.25">
      <c r="A2167" t="str">
        <f>T("   621133")</f>
        <v xml:space="preserve">   621133</v>
      </c>
      <c r="B2167" t="str">
        <f>T("   Survêtements de sport 'trainings' et autres vêtements n.d.a., de fibres synthétiques ou artificielles, pour hommes ou garçonnets (autres qu'en bonneterie)")</f>
        <v xml:space="preserve">   Survêtements de sport 'trainings' et autres vêtements n.d.a., de fibres synthétiques ou artificielles, pour hommes ou garçonnets (autres qu'en bonneterie)</v>
      </c>
      <c r="C2167">
        <v>9870951</v>
      </c>
      <c r="D2167">
        <v>5990</v>
      </c>
    </row>
    <row r="2168" spans="1:4" x14ac:dyDescent="0.25">
      <c r="A2168" t="str">
        <f>T("   621139")</f>
        <v xml:space="preserve">   621139</v>
      </c>
      <c r="B2168" t="str">
        <f>T("   Survêtements de sport 'trainings' et autres vêtements n.d.a., de matières textiles, pour hommes ou garçonnets (autres que de laine, poils fins, coton, fibres synthétiques ou artificielles, autres qu'en bonneterie)")</f>
        <v xml:space="preserve">   Survêtements de sport 'trainings' et autres vêtements n.d.a., de matières textiles, pour hommes ou garçonnets (autres que de laine, poils fins, coton, fibres synthétiques ou artificielles, autres qu'en bonneterie)</v>
      </c>
      <c r="C2168">
        <v>12429475</v>
      </c>
      <c r="D2168">
        <v>53115</v>
      </c>
    </row>
    <row r="2169" spans="1:4" x14ac:dyDescent="0.25">
      <c r="A2169" t="str">
        <f>T("   621149")</f>
        <v xml:space="preserve">   621149</v>
      </c>
      <c r="B2169" t="str">
        <f>T("   Survêtements de sport 'trainings' et autres vêtements n.d.a., de matières textiles, pour femmes ou fillettes (autres que de laine, poils fins, coton, fibres synthétiques ou artificielles, autres qu'en bonneterie)")</f>
        <v xml:space="preserve">   Survêtements de sport 'trainings' et autres vêtements n.d.a., de matières textiles, pour femmes ou fillettes (autres que de laine, poils fins, coton, fibres synthétiques ou artificielles, autres qu'en bonneterie)</v>
      </c>
      <c r="C2169">
        <v>1438050</v>
      </c>
      <c r="D2169">
        <v>5826</v>
      </c>
    </row>
    <row r="2170" spans="1:4" x14ac:dyDescent="0.25">
      <c r="A2170" t="str">
        <f>T("   621210")</f>
        <v xml:space="preserve">   621210</v>
      </c>
      <c r="B2170" t="str">
        <f>T("   Soutiens-gorge et bustiers en tous types de matières textiles, même élastiques et même en bonneterie")</f>
        <v xml:space="preserve">   Soutiens-gorge et bustiers en tous types de matières textiles, même élastiques et même en bonneterie</v>
      </c>
      <c r="C2170">
        <v>240617764</v>
      </c>
      <c r="D2170">
        <v>405691</v>
      </c>
    </row>
    <row r="2171" spans="1:4" x14ac:dyDescent="0.25">
      <c r="A2171" t="str">
        <f>T("   621310")</f>
        <v xml:space="preserve">   621310</v>
      </c>
      <c r="B2171" t="str">
        <f>T("   Mouchoirs et pochettes dont un côté &lt;= 60 cm, de soie ou de déchets de soie (autres qu'en bonneterie)")</f>
        <v xml:space="preserve">   Mouchoirs et pochettes dont un côté &lt;= 60 cm, de soie ou de déchets de soie (autres qu'en bonneterie)</v>
      </c>
      <c r="C2171">
        <v>536393</v>
      </c>
      <c r="D2171">
        <v>1600</v>
      </c>
    </row>
    <row r="2172" spans="1:4" x14ac:dyDescent="0.25">
      <c r="A2172" t="str">
        <f>T("   621390")</f>
        <v xml:space="preserve">   621390</v>
      </c>
      <c r="B2172" t="str">
        <f>T("   Mouchoirs et pochettes dont un côté &lt;= 60 cm, de matières textiles (autres que de soie et déchets de soie ou coton, autres qu'en bonneterie)")</f>
        <v xml:space="preserve">   Mouchoirs et pochettes dont un côté &lt;= 60 cm, de matières textiles (autres que de soie et déchets de soie ou coton, autres qu'en bonneterie)</v>
      </c>
      <c r="C2172">
        <v>61926162</v>
      </c>
      <c r="D2172">
        <v>98900</v>
      </c>
    </row>
    <row r="2173" spans="1:4" x14ac:dyDescent="0.25">
      <c r="A2173" t="str">
        <f>T("   621490")</f>
        <v xml:space="preserve">   621490</v>
      </c>
      <c r="B2173" t="str">
        <f>T("   Châles, écharpes, foulards, cache-nez, cache-col, mantilles, voiles et voilettes et articles simil., de matières textiles (autres que de laine, poils fins, fibres synthétiques ou artificielles, soie et déchets de soie et autres qu'en bonneterie)")</f>
        <v xml:space="preserve">   Châles, écharpes, foulards, cache-nez, cache-col, mantilles, voiles et voilettes et articles simil., de matières textiles (autres que de laine, poils fins, fibres synthétiques ou artificielles, soie et déchets de soie et autres qu'en bonneterie)</v>
      </c>
      <c r="C2173">
        <v>16000000</v>
      </c>
      <c r="D2173">
        <v>38640</v>
      </c>
    </row>
    <row r="2174" spans="1:4" x14ac:dyDescent="0.25">
      <c r="A2174" t="str">
        <f>T("   621710")</f>
        <v xml:space="preserve">   621710</v>
      </c>
      <c r="B2174" t="str">
        <f>T("   Accessoires confectionnés du vêtement en tous types de matières textiles, n.d.a. (autres qu'en bonneterie)")</f>
        <v xml:space="preserve">   Accessoires confectionnés du vêtement en tous types de matières textiles, n.d.a. (autres qu'en bonneterie)</v>
      </c>
      <c r="C2174">
        <v>276270</v>
      </c>
      <c r="D2174">
        <v>590</v>
      </c>
    </row>
    <row r="2175" spans="1:4" x14ac:dyDescent="0.25">
      <c r="A2175" t="str">
        <f>T("   621790")</f>
        <v xml:space="preserve">   621790</v>
      </c>
      <c r="B2175" t="str">
        <f>T("   Parties de vêtements ou d'accessoires du vêtement, en tous types de matières textiles, n.d.a. (autres qu'en bonneterie)")</f>
        <v xml:space="preserve">   Parties de vêtements ou d'accessoires du vêtement, en tous types de matières textiles, n.d.a. (autres qu'en bonneterie)</v>
      </c>
      <c r="C2175">
        <v>53802</v>
      </c>
      <c r="D2175">
        <v>65</v>
      </c>
    </row>
    <row r="2176" spans="1:4" x14ac:dyDescent="0.25">
      <c r="A2176" t="str">
        <f>T("   630190")</f>
        <v xml:space="preserve">   630190</v>
      </c>
      <c r="B2176" t="s">
        <v>274</v>
      </c>
      <c r="C2176">
        <v>74453800</v>
      </c>
      <c r="D2176">
        <v>363440</v>
      </c>
    </row>
    <row r="2177" spans="1:4" x14ac:dyDescent="0.25">
      <c r="A2177" t="str">
        <f>T("   630210")</f>
        <v xml:space="preserve">   630210</v>
      </c>
      <c r="B2177" t="str">
        <f>T("   LINGE DE LIT EN BONNETERIE")</f>
        <v xml:space="preserve">   LINGE DE LIT EN BONNETERIE</v>
      </c>
      <c r="C2177">
        <v>500000</v>
      </c>
      <c r="D2177">
        <v>2600</v>
      </c>
    </row>
    <row r="2178" spans="1:4" x14ac:dyDescent="0.25">
      <c r="A2178" t="str">
        <f>T("   630222")</f>
        <v xml:space="preserve">   630222</v>
      </c>
      <c r="B2178" t="str">
        <f>T("   Linge de lit, de fibres synthétiques ou artificielles, imprimé (autres qu'en bonneterie)")</f>
        <v xml:space="preserve">   Linge de lit, de fibres synthétiques ou artificielles, imprimé (autres qu'en bonneterie)</v>
      </c>
      <c r="C2178">
        <v>48298876</v>
      </c>
      <c r="D2178">
        <v>127580</v>
      </c>
    </row>
    <row r="2179" spans="1:4" x14ac:dyDescent="0.25">
      <c r="A2179" t="str">
        <f>T("   630229")</f>
        <v xml:space="preserve">   630229</v>
      </c>
      <c r="B2179" t="str">
        <f>T("   Linge de lit, de matières textiles, imprimé (autre que de coton, fibres synthétiques ou artificielles, autres qu'en bonneterie)")</f>
        <v xml:space="preserve">   Linge de lit, de matières textiles, imprimé (autre que de coton, fibres synthétiques ou artificielles, autres qu'en bonneterie)</v>
      </c>
      <c r="C2179">
        <v>89735127</v>
      </c>
      <c r="D2179">
        <v>242081</v>
      </c>
    </row>
    <row r="2180" spans="1:4" x14ac:dyDescent="0.25">
      <c r="A2180" t="str">
        <f>T("   630231")</f>
        <v xml:space="preserve">   630231</v>
      </c>
      <c r="B2180" t="str">
        <f>T("   Linge de lit de coton (autre qu'imprimé, autre qu'en bonneterie)")</f>
        <v xml:space="preserve">   Linge de lit de coton (autre qu'imprimé, autre qu'en bonneterie)</v>
      </c>
      <c r="C2180">
        <v>1880403</v>
      </c>
      <c r="D2180">
        <v>1473</v>
      </c>
    </row>
    <row r="2181" spans="1:4" x14ac:dyDescent="0.25">
      <c r="A2181" t="str">
        <f>T("   630239")</f>
        <v xml:space="preserve">   630239</v>
      </c>
      <c r="B2181" t="str">
        <f>T("   Linge de lit de matières textiles (autres que de coton, fibres synthétiques ou artificielles, autre qu'imprimé, autre qu'en bonneterie)")</f>
        <v xml:space="preserve">   Linge de lit de matières textiles (autres que de coton, fibres synthétiques ou artificielles, autre qu'imprimé, autre qu'en bonneterie)</v>
      </c>
      <c r="C2181">
        <v>303429</v>
      </c>
      <c r="D2181">
        <v>464</v>
      </c>
    </row>
    <row r="2182" spans="1:4" x14ac:dyDescent="0.25">
      <c r="A2182" t="str">
        <f>T("   630253")</f>
        <v xml:space="preserve">   630253</v>
      </c>
      <c r="B2182" t="str">
        <f>T("   Linge de table de fibres synthétiques ou artificielles (autres qu'en bonneterie)")</f>
        <v xml:space="preserve">   Linge de table de fibres synthétiques ou artificielles (autres qu'en bonneterie)</v>
      </c>
      <c r="C2182">
        <v>655960</v>
      </c>
      <c r="D2182">
        <v>3872</v>
      </c>
    </row>
    <row r="2183" spans="1:4" x14ac:dyDescent="0.25">
      <c r="A2183" t="str">
        <f>T("   630259")</f>
        <v xml:space="preserve">   630259</v>
      </c>
      <c r="B2183" t="str">
        <f>T("   LINGE DE TABLE DE MATIÈRES TEXTILES (AUTRE QUE DE COTON, FIBRES SYNTHÉTIQUES OU ARTIFICIELLES, AUTRE QU'EN BONNETERIE)")</f>
        <v xml:space="preserve">   LINGE DE TABLE DE MATIÈRES TEXTILES (AUTRE QUE DE COTON, FIBRES SYNTHÉTIQUES OU ARTIFICIELLES, AUTRE QU'EN BONNETERIE)</v>
      </c>
      <c r="C2183">
        <v>444741</v>
      </c>
      <c r="D2183">
        <v>400</v>
      </c>
    </row>
    <row r="2184" spans="1:4" x14ac:dyDescent="0.25">
      <c r="A2184" t="str">
        <f>T("   630260")</f>
        <v xml:space="preserve">   630260</v>
      </c>
      <c r="B2184" t="str">
        <f>T("   Linge de toilette ou de cuisine, bouclé du genre éponge, de coton (sauf serpillières, chiffons à parquet, lavettes et chamoisettes)")</f>
        <v xml:space="preserve">   Linge de toilette ou de cuisine, bouclé du genre éponge, de coton (sauf serpillières, chiffons à parquet, lavettes et chamoisettes)</v>
      </c>
      <c r="C2184">
        <v>10745565</v>
      </c>
      <c r="D2184">
        <v>33088</v>
      </c>
    </row>
    <row r="2185" spans="1:4" x14ac:dyDescent="0.25">
      <c r="A2185" t="str">
        <f>T("   630291")</f>
        <v xml:space="preserve">   630291</v>
      </c>
      <c r="B2185" t="str">
        <f>T("   Linge de toilette ou de cuisine en coton (autre que bouclé du genre éponge et sauf serpillières, chiffons à parquet, lavettes et chamoisettes)")</f>
        <v xml:space="preserve">   Linge de toilette ou de cuisine en coton (autre que bouclé du genre éponge et sauf serpillières, chiffons à parquet, lavettes et chamoisettes)</v>
      </c>
      <c r="C2185">
        <v>11431981</v>
      </c>
      <c r="D2185">
        <v>52611</v>
      </c>
    </row>
    <row r="2186" spans="1:4" x14ac:dyDescent="0.25">
      <c r="A2186" t="str">
        <f>T("   630293")</f>
        <v xml:space="preserve">   630293</v>
      </c>
      <c r="B2186" t="str">
        <f>T("   Linge de toilette ou de cuisine, de fibres synthétiques ou artificielles (sauf serpillières, chiffons à parquet, lavettes et chamoisettes)")</f>
        <v xml:space="preserve">   Linge de toilette ou de cuisine, de fibres synthétiques ou artificielles (sauf serpillières, chiffons à parquet, lavettes et chamoisettes)</v>
      </c>
      <c r="C2186">
        <v>3000000</v>
      </c>
      <c r="D2186">
        <v>7350</v>
      </c>
    </row>
    <row r="2187" spans="1:4" x14ac:dyDescent="0.25">
      <c r="A2187" t="str">
        <f>T("   630299")</f>
        <v xml:space="preserve">   630299</v>
      </c>
      <c r="B2187" t="str">
        <f>T("   LINGE DE TOILETTE OU DE CUISINE, DE MATIÈRES TEXTILES (AUTRE QUE DE COTON, FIBRES SYNTHÉTIQUES OU ARTIFICIELLES ET SAUF SERPILLIÈRES, CHIFFONS À PARQUET, LAVETTES ET CHAMOISETTES)")</f>
        <v xml:space="preserve">   LINGE DE TOILETTE OU DE CUISINE, DE MATIÈRES TEXTILES (AUTRE QUE DE COTON, FIBRES SYNTHÉTIQUES OU ARTIFICIELLES ET SAUF SERPILLIÈRES, CHIFFONS À PARQUET, LAVETTES ET CHAMOISETTES)</v>
      </c>
      <c r="C2187">
        <v>25296180</v>
      </c>
      <c r="D2187">
        <v>62398</v>
      </c>
    </row>
    <row r="2188" spans="1:4" x14ac:dyDescent="0.25">
      <c r="A2188" t="str">
        <f>T("   630311")</f>
        <v xml:space="preserve">   630311</v>
      </c>
      <c r="B2188" t="str">
        <f>T("   Vitrages, rideaux et stores d'intérieur ainsi que cantonnières et tours de lit, en bonneterie, de coton (autres que stores d'extérieur)")</f>
        <v xml:space="preserve">   Vitrages, rideaux et stores d'intérieur ainsi que cantonnières et tours de lit, en bonneterie, de coton (autres que stores d'extérieur)</v>
      </c>
      <c r="C2188">
        <v>90440</v>
      </c>
      <c r="D2188">
        <v>204</v>
      </c>
    </row>
    <row r="2189" spans="1:4" x14ac:dyDescent="0.25">
      <c r="A2189" t="str">
        <f>T("   630312")</f>
        <v xml:space="preserve">   630312</v>
      </c>
      <c r="B2189" t="str">
        <f>T("   Vitrages, rideaux et stores d'intérieur ainsi que cantonnières et tours de lit, en bonneterie, de fibres synthétiques (autres que stores d'extérieur)")</f>
        <v xml:space="preserve">   Vitrages, rideaux et stores d'intérieur ainsi que cantonnières et tours de lit, en bonneterie, de fibres synthétiques (autres que stores d'extérieur)</v>
      </c>
      <c r="C2189">
        <v>482226</v>
      </c>
      <c r="D2189">
        <v>2000</v>
      </c>
    </row>
    <row r="2190" spans="1:4" x14ac:dyDescent="0.25">
      <c r="A2190" t="str">
        <f>T("   630319")</f>
        <v xml:space="preserve">   630319</v>
      </c>
      <c r="B2190" t="str">
        <f>T("   Vitrages, rideaux et stores d'intérieur ainsi que cantonnières et tours de lit, en bonneterie (autres que de coton et fibres synthétiques et autres que stores d'extérieur)")</f>
        <v xml:space="preserve">   Vitrages, rideaux et stores d'intérieur ainsi que cantonnières et tours de lit, en bonneterie (autres que de coton et fibres synthétiques et autres que stores d'extérieur)</v>
      </c>
      <c r="C2190">
        <v>7559075</v>
      </c>
      <c r="D2190">
        <v>23673</v>
      </c>
    </row>
    <row r="2191" spans="1:4" x14ac:dyDescent="0.25">
      <c r="A2191" t="str">
        <f>T("   630399")</f>
        <v xml:space="preserve">   630399</v>
      </c>
      <c r="B2191" t="str">
        <f>T("   Vitrages, rideaux et stores d'intérieur ainsi que cantonnières et tours de lit, de matières textiles (autres que de coton et fibres synthétiques, autres qu'en bonneterie et autres que stores d'extérieur)")</f>
        <v xml:space="preserve">   Vitrages, rideaux et stores d'intérieur ainsi que cantonnières et tours de lit, de matières textiles (autres que de coton et fibres synthétiques, autres qu'en bonneterie et autres que stores d'extérieur)</v>
      </c>
      <c r="C2191">
        <v>16050206</v>
      </c>
      <c r="D2191">
        <v>67665</v>
      </c>
    </row>
    <row r="2192" spans="1:4" x14ac:dyDescent="0.25">
      <c r="A2192" t="str">
        <f>T("   630411")</f>
        <v xml:space="preserve">   630411</v>
      </c>
      <c r="B2192" t="str">
        <f>T("   Couvre-lits en bonneterie (sauf linge de lit, couvre-pieds et édredons)")</f>
        <v xml:space="preserve">   Couvre-lits en bonneterie (sauf linge de lit, couvre-pieds et édredons)</v>
      </c>
      <c r="C2192">
        <v>32798</v>
      </c>
      <c r="D2192">
        <v>2</v>
      </c>
    </row>
    <row r="2193" spans="1:4" x14ac:dyDescent="0.25">
      <c r="A2193" t="str">
        <f>T("   630419")</f>
        <v xml:space="preserve">   630419</v>
      </c>
      <c r="B2193" t="str">
        <f>T("   Couvre-lits en tous types de matières textiles (autres qu'en bonneterie et sauf linge de lit, couvre-pieds et édredons)")</f>
        <v xml:space="preserve">   Couvre-lits en tous types de matières textiles (autres qu'en bonneterie et sauf linge de lit, couvre-pieds et édredons)</v>
      </c>
      <c r="C2193">
        <v>50512356</v>
      </c>
      <c r="D2193">
        <v>233245</v>
      </c>
    </row>
    <row r="2194" spans="1:4" x14ac:dyDescent="0.25">
      <c r="A2194" t="str">
        <f>T("   630491")</f>
        <v xml:space="preserve">   630491</v>
      </c>
      <c r="B2194" t="s">
        <v>275</v>
      </c>
      <c r="C2194">
        <v>554955346</v>
      </c>
      <c r="D2194">
        <v>266901</v>
      </c>
    </row>
    <row r="2195" spans="1:4" x14ac:dyDescent="0.25">
      <c r="A2195" t="str">
        <f>T("   630493")</f>
        <v xml:space="preserve">   630493</v>
      </c>
      <c r="B2195" t="s">
        <v>276</v>
      </c>
      <c r="C2195">
        <v>2959036</v>
      </c>
      <c r="D2195">
        <v>7495</v>
      </c>
    </row>
    <row r="2196" spans="1:4" x14ac:dyDescent="0.25">
      <c r="A2196" t="str">
        <f>T("   630510")</f>
        <v xml:space="preserve">   630510</v>
      </c>
      <c r="B2196" t="str">
        <f>T("   Sacs et sachets d'emballage de jute ou d'autres fibres textiles libériennes du n° 5303")</f>
        <v xml:space="preserve">   Sacs et sachets d'emballage de jute ou d'autres fibres textiles libériennes du n° 5303</v>
      </c>
      <c r="C2196">
        <v>52877388</v>
      </c>
      <c r="D2196">
        <v>989693</v>
      </c>
    </row>
    <row r="2197" spans="1:4" x14ac:dyDescent="0.25">
      <c r="A2197" t="str">
        <f>T("   630520")</f>
        <v xml:space="preserve">   630520</v>
      </c>
      <c r="B2197" t="str">
        <f>T("   SACS ET SACHETS D'EMBALLAGE DE COTON")</f>
        <v xml:space="preserve">   SACS ET SACHETS D'EMBALLAGE DE COTON</v>
      </c>
      <c r="C2197">
        <v>12158564</v>
      </c>
      <c r="D2197">
        <v>8140</v>
      </c>
    </row>
    <row r="2198" spans="1:4" x14ac:dyDescent="0.25">
      <c r="A2198" t="str">
        <f>T("   630539")</f>
        <v xml:space="preserve">   630539</v>
      </c>
      <c r="B2198" t="str">
        <f>T("   Sacs et sachets d'emballage de matières synthétiques ou artificielles (autres qu'en lames ou formes simil. de polyéthylène ou de polypropylène ainsi que contenants souples pour matières en vrac)")</f>
        <v xml:space="preserve">   Sacs et sachets d'emballage de matières synthétiques ou artificielles (autres qu'en lames ou formes simil. de polyéthylène ou de polypropylène ainsi que contenants souples pour matières en vrac)</v>
      </c>
      <c r="C2198">
        <v>5126642</v>
      </c>
      <c r="D2198">
        <v>35154</v>
      </c>
    </row>
    <row r="2199" spans="1:4" x14ac:dyDescent="0.25">
      <c r="A2199" t="str">
        <f>T("   630590")</f>
        <v xml:space="preserve">   630590</v>
      </c>
      <c r="B2199" t="str">
        <f>T("   Sacs et sachets d'emballage de matières textiles (autres qu'en matières textiles synthétiques ou artificielles, coton, jute ou autres fibres textiles libérienne du n° 5303)")</f>
        <v xml:space="preserve">   Sacs et sachets d'emballage de matières textiles (autres qu'en matières textiles synthétiques ou artificielles, coton, jute ou autres fibres textiles libérienne du n° 5303)</v>
      </c>
      <c r="C2199">
        <v>161366</v>
      </c>
      <c r="D2199">
        <v>398</v>
      </c>
    </row>
    <row r="2200" spans="1:4" x14ac:dyDescent="0.25">
      <c r="A2200" t="str">
        <f>T("   630612")</f>
        <v xml:space="preserve">   630612</v>
      </c>
      <c r="B2200" t="str">
        <f>T("   Bâches et stores d'extérieur de fibres synthétiques (sauf auvents plats en tissus légers, confectionnés selon le type de bâche)")</f>
        <v xml:space="preserve">   Bâches et stores d'extérieur de fibres synthétiques (sauf auvents plats en tissus légers, confectionnés selon le type de bâche)</v>
      </c>
      <c r="C2200">
        <v>4600470</v>
      </c>
      <c r="D2200">
        <v>22457</v>
      </c>
    </row>
    <row r="2201" spans="1:4" x14ac:dyDescent="0.25">
      <c r="A2201" t="str">
        <f>T("   630622")</f>
        <v xml:space="preserve">   630622</v>
      </c>
      <c r="B2201" t="str">
        <f>T("   Tentes de fibres synthétiques (sauf paravents)")</f>
        <v xml:space="preserve">   Tentes de fibres synthétiques (sauf paravents)</v>
      </c>
      <c r="C2201">
        <v>1046137</v>
      </c>
      <c r="D2201">
        <v>3063.5</v>
      </c>
    </row>
    <row r="2202" spans="1:4" x14ac:dyDescent="0.25">
      <c r="A2202" t="str">
        <f>T("   630699")</f>
        <v xml:space="preserve">   630699</v>
      </c>
      <c r="B2202" t="str">
        <f>T("   Articles de camping, de matières textiles (autres que de coton et sauf tentes et matelas pneumatiques, stores d'extérieur, voiles, sacs à dos, sacs à bandoulière et conditionnements simil. et sauf sacs de couchage, matelas et coussins rembourrés)")</f>
        <v xml:space="preserve">   Articles de camping, de matières textiles (autres que de coton et sauf tentes et matelas pneumatiques, stores d'extérieur, voiles, sacs à dos, sacs à bandoulière et conditionnements simil. et sauf sacs de couchage, matelas et coussins rembourrés)</v>
      </c>
      <c r="C2202">
        <v>30177</v>
      </c>
      <c r="D2202">
        <v>12</v>
      </c>
    </row>
    <row r="2203" spans="1:4" x14ac:dyDescent="0.25">
      <c r="A2203" t="str">
        <f>T("   630710")</f>
        <v xml:space="preserve">   630710</v>
      </c>
      <c r="B2203" t="str">
        <f>T("   Serpillières ou wassingues, lavettes, chamoisettes et articles d'entretien simil. en tous types de matières textiles")</f>
        <v xml:space="preserve">   Serpillières ou wassingues, lavettes, chamoisettes et articles d'entretien simil. en tous types de matières textiles</v>
      </c>
      <c r="C2203">
        <v>1502325</v>
      </c>
      <c r="D2203">
        <v>12060</v>
      </c>
    </row>
    <row r="2204" spans="1:4" x14ac:dyDescent="0.25">
      <c r="A2204" t="str">
        <f>T("   630790")</f>
        <v xml:space="preserve">   630790</v>
      </c>
      <c r="B2204" t="str">
        <f>T("   Articles de matières textiles, confectionnés, y.c. les patrons de vêtements n.d.a.")</f>
        <v xml:space="preserve">   Articles de matières textiles, confectionnés, y.c. les patrons de vêtements n.d.a.</v>
      </c>
      <c r="C2204">
        <v>4674407</v>
      </c>
      <c r="D2204">
        <v>1263</v>
      </c>
    </row>
    <row r="2205" spans="1:4" x14ac:dyDescent="0.25">
      <c r="A2205" t="str">
        <f>T("   630900")</f>
        <v xml:space="preserve">   630900</v>
      </c>
      <c r="B2205" t="s">
        <v>278</v>
      </c>
      <c r="C2205">
        <v>2030299376</v>
      </c>
      <c r="D2205">
        <v>4302784.5</v>
      </c>
    </row>
    <row r="2206" spans="1:4" x14ac:dyDescent="0.25">
      <c r="A2206" t="str">
        <f>T("   631010")</f>
        <v xml:space="preserve">   631010</v>
      </c>
      <c r="B2206" t="str">
        <f>T("   Chiffons en tous types de matières textiles ainsi que ficelles, cordes et cordages et articles composés de ceux-ci, de matières textiles, sous forme de déchets ou d'articles hors d'usage, triés")</f>
        <v xml:space="preserve">   Chiffons en tous types de matières textiles ainsi que ficelles, cordes et cordages et articles composés de ceux-ci, de matières textiles, sous forme de déchets ou d'articles hors d'usage, triés</v>
      </c>
      <c r="C2206">
        <v>493340</v>
      </c>
      <c r="D2206">
        <v>1660</v>
      </c>
    </row>
    <row r="2207" spans="1:4" x14ac:dyDescent="0.25">
      <c r="A2207" t="str">
        <f>T("   631090")</f>
        <v xml:space="preserve">   631090</v>
      </c>
      <c r="B2207" t="str">
        <f>T("   Chiffons en tous types de matières textiles ainsi que ficelles, cordes et cordages et articles composés de ceux-ci, de matières textiles, sous forme de déchets ou d'articles hors d'usage, non triés")</f>
        <v xml:space="preserve">   Chiffons en tous types de matières textiles ainsi que ficelles, cordes et cordages et articles composés de ceux-ci, de matières textiles, sous forme de déchets ou d'articles hors d'usage, non triés</v>
      </c>
      <c r="C2207">
        <v>327980</v>
      </c>
      <c r="D2207">
        <v>530</v>
      </c>
    </row>
    <row r="2208" spans="1:4" x14ac:dyDescent="0.25">
      <c r="A2208" t="str">
        <f>T("   640199")</f>
        <v xml:space="preserve">   640199</v>
      </c>
      <c r="B2208" t="s">
        <v>279</v>
      </c>
      <c r="C2208">
        <v>8000000</v>
      </c>
      <c r="D2208">
        <v>33256</v>
      </c>
    </row>
    <row r="2209" spans="1:4" x14ac:dyDescent="0.25">
      <c r="A2209" t="str">
        <f>T("   640212")</f>
        <v xml:space="preserve">   640212</v>
      </c>
      <c r="B2209" t="str">
        <f>T("   Chaussures de ski et chaussures pour le surf des neiges, à semelles extérieures et dessus en caoutchouc ou en matière plastique (sauf chaussures étanches du n° 6401)")</f>
        <v xml:space="preserve">   Chaussures de ski et chaussures pour le surf des neiges, à semelles extérieures et dessus en caoutchouc ou en matière plastique (sauf chaussures étanches du n° 6401)</v>
      </c>
      <c r="C2209">
        <v>97704</v>
      </c>
      <c r="D2209">
        <v>440</v>
      </c>
    </row>
    <row r="2210" spans="1:4" x14ac:dyDescent="0.25">
      <c r="A2210" t="str">
        <f>T("   640219")</f>
        <v xml:space="preserve">   640219</v>
      </c>
      <c r="B2210" t="s">
        <v>281</v>
      </c>
      <c r="C2210">
        <v>20480356</v>
      </c>
      <c r="D2210">
        <v>102464</v>
      </c>
    </row>
    <row r="2211" spans="1:4" x14ac:dyDescent="0.25">
      <c r="A2211" t="str">
        <f>T("   640220")</f>
        <v xml:space="preserve">   640220</v>
      </c>
      <c r="B2211" t="str">
        <f>T("   Chaussures à semelles extérieures et dessus en caoutchouc ou en matière plastique, à dessus en lanières ou brides fixées à la semelle par des tétons (sauf chaussures ayant le caractère de jouets)")</f>
        <v xml:space="preserve">   Chaussures à semelles extérieures et dessus en caoutchouc ou en matière plastique, à dessus en lanières ou brides fixées à la semelle par des tétons (sauf chaussures ayant le caractère de jouets)</v>
      </c>
      <c r="C2211">
        <v>222343820</v>
      </c>
      <c r="D2211">
        <v>1029778</v>
      </c>
    </row>
    <row r="2212" spans="1:4" x14ac:dyDescent="0.25">
      <c r="A2212" t="str">
        <f>T("   640230")</f>
        <v xml:space="preserve">   640230</v>
      </c>
      <c r="B2212" t="s">
        <v>282</v>
      </c>
      <c r="C2212">
        <v>21500</v>
      </c>
      <c r="D2212">
        <v>40</v>
      </c>
    </row>
    <row r="2213" spans="1:4" x14ac:dyDescent="0.25">
      <c r="A2213" t="str">
        <f>T("   640299")</f>
        <v xml:space="preserve">   640299</v>
      </c>
      <c r="B2213" t="s">
        <v>283</v>
      </c>
      <c r="C2213">
        <v>292180446</v>
      </c>
      <c r="D2213">
        <v>1515125</v>
      </c>
    </row>
    <row r="2214" spans="1:4" x14ac:dyDescent="0.25">
      <c r="A2214" t="str">
        <f>T("   640319")</f>
        <v xml:space="preserve">   640319</v>
      </c>
      <c r="B2214" t="s">
        <v>284</v>
      </c>
      <c r="C2214">
        <v>781634</v>
      </c>
      <c r="D2214">
        <v>1420</v>
      </c>
    </row>
    <row r="2215" spans="1:4" x14ac:dyDescent="0.25">
      <c r="A2215" t="str">
        <f>T("   640359")</f>
        <v xml:space="preserve">   640359</v>
      </c>
      <c r="B2215" t="s">
        <v>285</v>
      </c>
      <c r="C2215">
        <v>2000000</v>
      </c>
      <c r="D2215">
        <v>6000</v>
      </c>
    </row>
    <row r="2216" spans="1:4" x14ac:dyDescent="0.25">
      <c r="A2216" t="str">
        <f>T("   640391")</f>
        <v xml:space="preserve">   640391</v>
      </c>
      <c r="B2216" t="s">
        <v>286</v>
      </c>
      <c r="C2216">
        <v>1714141</v>
      </c>
      <c r="D2216">
        <v>333</v>
      </c>
    </row>
    <row r="2217" spans="1:4" x14ac:dyDescent="0.25">
      <c r="A2217" t="str">
        <f>T("   640399")</f>
        <v xml:space="preserve">   640399</v>
      </c>
      <c r="B2217" t="s">
        <v>287</v>
      </c>
      <c r="C2217">
        <v>7072330</v>
      </c>
      <c r="D2217">
        <v>2400</v>
      </c>
    </row>
    <row r="2218" spans="1:4" x14ac:dyDescent="0.25">
      <c r="A2218" t="str">
        <f>T("   640411")</f>
        <v xml:space="preserve">   640411</v>
      </c>
      <c r="B2218" t="str">
        <f>T("   Chaussures de sport, y.c. chaussures dites de tennis, de basket-ball, de gymnastique, d'entraînement et chaussures simil., à semelles extérieures en caoutchouc ou en matière plastique, à dessus en matières textiles")</f>
        <v xml:space="preserve">   Chaussures de sport, y.c. chaussures dites de tennis, de basket-ball, de gymnastique, d'entraînement et chaussures simil., à semelles extérieures en caoutchouc ou en matière plastique, à dessus en matières textiles</v>
      </c>
      <c r="C2218">
        <v>35000</v>
      </c>
      <c r="D2218">
        <v>28</v>
      </c>
    </row>
    <row r="2219" spans="1:4" x14ac:dyDescent="0.25">
      <c r="A2219" t="str">
        <f>T("   640419")</f>
        <v xml:space="preserve">   640419</v>
      </c>
      <c r="B2219" t="s">
        <v>288</v>
      </c>
      <c r="C2219">
        <v>93402100</v>
      </c>
      <c r="D2219">
        <v>411251</v>
      </c>
    </row>
    <row r="2220" spans="1:4" x14ac:dyDescent="0.25">
      <c r="A2220" t="str">
        <f>T("   640590")</f>
        <v xml:space="preserve">   640590</v>
      </c>
      <c r="B2220" t="s">
        <v>289</v>
      </c>
      <c r="C2220">
        <v>1086494903</v>
      </c>
      <c r="D2220">
        <v>4368364.25</v>
      </c>
    </row>
    <row r="2221" spans="1:4" x14ac:dyDescent="0.25">
      <c r="A2221" t="str">
        <f>T("   640620")</f>
        <v xml:space="preserve">   640620</v>
      </c>
      <c r="B2221" t="str">
        <f>T("   Semelles extérieures et talons de chaussures, en caoutchouc ou en matière plastique")</f>
        <v xml:space="preserve">   Semelles extérieures et talons de chaussures, en caoutchouc ou en matière plastique</v>
      </c>
      <c r="C2221">
        <v>2000000</v>
      </c>
      <c r="D2221">
        <v>17450</v>
      </c>
    </row>
    <row r="2222" spans="1:4" x14ac:dyDescent="0.25">
      <c r="A2222" t="str">
        <f>T("   650400")</f>
        <v xml:space="preserve">   650400</v>
      </c>
      <c r="B2222" t="str">
        <f>T("   Chapeaux et autres coiffures, tressés ou fabriqués par l'assemblage de bandes en toutes matières, même garnis (sauf coiffures pour animaux ou ayant le caractère de jouets ou d'articles de carnaval)")</f>
        <v xml:space="preserve">   Chapeaux et autres coiffures, tressés ou fabriqués par l'assemblage de bandes en toutes matières, même garnis (sauf coiffures pour animaux ou ayant le caractère de jouets ou d'articles de carnaval)</v>
      </c>
      <c r="C2222">
        <v>73134</v>
      </c>
      <c r="D2222">
        <v>750</v>
      </c>
    </row>
    <row r="2223" spans="1:4" x14ac:dyDescent="0.25">
      <c r="A2223" t="str">
        <f>T("   650590")</f>
        <v xml:space="preserve">   650590</v>
      </c>
      <c r="B2223" t="s">
        <v>290</v>
      </c>
      <c r="C2223">
        <v>4868391</v>
      </c>
      <c r="D2223">
        <v>10954</v>
      </c>
    </row>
    <row r="2224" spans="1:4" x14ac:dyDescent="0.25">
      <c r="A2224" t="str">
        <f>T("   650610")</f>
        <v xml:space="preserve">   650610</v>
      </c>
      <c r="B2224" t="str">
        <f>T("   Coiffures de sécurité, même garnies")</f>
        <v xml:space="preserve">   Coiffures de sécurité, même garnies</v>
      </c>
      <c r="C2224">
        <v>91161905</v>
      </c>
      <c r="D2224">
        <v>84811</v>
      </c>
    </row>
    <row r="2225" spans="1:4" x14ac:dyDescent="0.25">
      <c r="A2225" t="str">
        <f>T("   650691")</f>
        <v xml:space="preserve">   650691</v>
      </c>
      <c r="B2225" t="s">
        <v>291</v>
      </c>
      <c r="C2225">
        <v>1734421</v>
      </c>
      <c r="D2225">
        <v>3351</v>
      </c>
    </row>
    <row r="2226" spans="1:4" x14ac:dyDescent="0.25">
      <c r="A2226" t="str">
        <f>T("   650699")</f>
        <v xml:space="preserve">   650699</v>
      </c>
      <c r="B2226" t="str">
        <f>T("   Chapeaux et autres coiffures, même garnis, n.d.a.")</f>
        <v xml:space="preserve">   Chapeaux et autres coiffures, même garnis, n.d.a.</v>
      </c>
      <c r="C2226">
        <v>15858213</v>
      </c>
      <c r="D2226">
        <v>18839.75</v>
      </c>
    </row>
    <row r="2227" spans="1:4" x14ac:dyDescent="0.25">
      <c r="A2227" t="str">
        <f>T("   650700")</f>
        <v xml:space="preserve">   650700</v>
      </c>
      <c r="B2227" t="str">
        <f>T("   Bandes pour garniture intérieure, coiffes, couvre-coiffures, carcasses, visières et jugulaires pour la chapellerie (sauf les bandeaux utilisés par les sportifs comme protection contre les gouttes de transpiration, en bonneterie)")</f>
        <v xml:space="preserve">   Bandes pour garniture intérieure, coiffes, couvre-coiffures, carcasses, visières et jugulaires pour la chapellerie (sauf les bandeaux utilisés par les sportifs comme protection contre les gouttes de transpiration, en bonneterie)</v>
      </c>
      <c r="C2227">
        <v>1000000</v>
      </c>
      <c r="D2227">
        <v>5800</v>
      </c>
    </row>
    <row r="2228" spans="1:4" x14ac:dyDescent="0.25">
      <c r="A2228" t="str">
        <f>T("   660110")</f>
        <v xml:space="preserve">   660110</v>
      </c>
      <c r="B2228" t="str">
        <f>T("   Parasols de jardin et articles simil. (sauf tentes de plage)")</f>
        <v xml:space="preserve">   Parasols de jardin et articles simil. (sauf tentes de plage)</v>
      </c>
      <c r="C2228">
        <v>1863195</v>
      </c>
      <c r="D2228">
        <v>8677</v>
      </c>
    </row>
    <row r="2229" spans="1:4" x14ac:dyDescent="0.25">
      <c r="A2229" t="str">
        <f>T("   660191")</f>
        <v xml:space="preserve">   660191</v>
      </c>
      <c r="B2229" t="str">
        <f>T("   Parapluies, y.c. les parapluies-cannes et ombrelles, à mât ou à manche télescopique (sauf jouets d'enfants)")</f>
        <v xml:space="preserve">   Parapluies, y.c. les parapluies-cannes et ombrelles, à mât ou à manche télescopique (sauf jouets d'enfants)</v>
      </c>
      <c r="C2229">
        <v>1141567</v>
      </c>
      <c r="D2229">
        <v>8832</v>
      </c>
    </row>
    <row r="2230" spans="1:4" x14ac:dyDescent="0.25">
      <c r="A2230" t="str">
        <f>T("   660199")</f>
        <v xml:space="preserve">   660199</v>
      </c>
      <c r="B2230" t="str">
        <f>T("   Parapluies, y.c. les parapluies-cannes et ombrelles (sauf parapluies et ombrelles à mât ou à manche télescopique, parasols de jardin et articles simil. et sauf jouets d'enfants)")</f>
        <v xml:space="preserve">   Parapluies, y.c. les parapluies-cannes et ombrelles (sauf parapluies et ombrelles à mât ou à manche télescopique, parasols de jardin et articles simil. et sauf jouets d'enfants)</v>
      </c>
      <c r="C2230">
        <v>10697643</v>
      </c>
      <c r="D2230">
        <v>34285</v>
      </c>
    </row>
    <row r="2231" spans="1:4" x14ac:dyDescent="0.25">
      <c r="A2231" t="str">
        <f>T("   660390")</f>
        <v xml:space="preserve">   660390</v>
      </c>
      <c r="B2231" t="str">
        <f>T("   PARTIES, GARNITURES ET ACCESSOIRES RECONNAISSABLES COMME ÉTANT DESTINÉS AUX PARAPLUIES, OMBRELLES ET PARASOLS DU N° 6601 OU AUX CANNES, CANNES-SIÈGES, FOUETS, CRAVACHES ET ARTICLES SIMIL. DU N° 6602 (SAUF MONTURES ASSEMBLÉES MÊME AVEC MÂTS OU MANCHES)")</f>
        <v xml:space="preserve">   PARTIES, GARNITURES ET ACCESSOIRES RECONNAISSABLES COMME ÉTANT DESTINÉS AUX PARAPLUIES, OMBRELLES ET PARASOLS DU N° 6601 OU AUX CANNES, CANNES-SIÈGES, FOUETS, CRAVACHES ET ARTICLES SIMIL. DU N° 6602 (SAUF MONTURES ASSEMBLÉES MÊME AVEC MÂTS OU MANCHES)</v>
      </c>
      <c r="C2231">
        <v>2000000</v>
      </c>
      <c r="D2231">
        <v>21840</v>
      </c>
    </row>
    <row r="2232" spans="1:4" x14ac:dyDescent="0.25">
      <c r="A2232" t="str">
        <f>T("   670210")</f>
        <v xml:space="preserve">   670210</v>
      </c>
      <c r="B2232" t="str">
        <f>T("   Fleurs, feuillages et fruits artificiels, y.c. leurs parties; articles confectionnés en fleurs, feuillages ou fruits artificiels fabriqués par ligature, collage, emboîtage ou procédés simil., en matières plastiques")</f>
        <v xml:space="preserve">   Fleurs, feuillages et fruits artificiels, y.c. leurs parties; articles confectionnés en fleurs, feuillages ou fruits artificiels fabriqués par ligature, collage, emboîtage ou procédés simil., en matières plastiques</v>
      </c>
      <c r="C2232">
        <v>36405764</v>
      </c>
      <c r="D2232">
        <v>75106</v>
      </c>
    </row>
    <row r="2233" spans="1:4" x14ac:dyDescent="0.25">
      <c r="A2233" t="str">
        <f>T("   670290")</f>
        <v xml:space="preserve">   670290</v>
      </c>
      <c r="B2233" t="str">
        <f>T("   Fleurs, feuillages et fruits artificiels, y.c. leurs parties; articles confectionnés en fleurs, feuillages ou fruits artificiels fabriqués par ligature, collage, emboîtage ou procédés simil. (autres qu'en matière plastique)")</f>
        <v xml:space="preserve">   Fleurs, feuillages et fruits artificiels, y.c. leurs parties; articles confectionnés en fleurs, feuillages ou fruits artificiels fabriqués par ligature, collage, emboîtage ou procédés simil. (autres qu'en matière plastique)</v>
      </c>
      <c r="C2233">
        <v>10098194</v>
      </c>
      <c r="D2233">
        <v>38121</v>
      </c>
    </row>
    <row r="2234" spans="1:4" x14ac:dyDescent="0.25">
      <c r="A2234" t="str">
        <f>T("   670420")</f>
        <v xml:space="preserve">   670420</v>
      </c>
      <c r="B2234" t="str">
        <f>T("   Perruques, barbes, sourcils, cils, mèches et articles simil., en cheveux; ouvrages en cheveux n.d.a.")</f>
        <v xml:space="preserve">   Perruques, barbes, sourcils, cils, mèches et articles simil., en cheveux; ouvrages en cheveux n.d.a.</v>
      </c>
      <c r="C2234">
        <v>6544352</v>
      </c>
      <c r="D2234">
        <v>23530</v>
      </c>
    </row>
    <row r="2235" spans="1:4" x14ac:dyDescent="0.25">
      <c r="A2235" t="str">
        <f>T("   670490")</f>
        <v xml:space="preserve">   670490</v>
      </c>
      <c r="B2235" t="str">
        <f>T("   Perruques, barbes, sourcils, cils, mèches et articles simil., en poils ou matières textiles (sauf matières textiles synthétiques)")</f>
        <v xml:space="preserve">   Perruques, barbes, sourcils, cils, mèches et articles simil., en poils ou matières textiles (sauf matières textiles synthétiques)</v>
      </c>
      <c r="C2235">
        <v>31044586</v>
      </c>
      <c r="D2235">
        <v>161337</v>
      </c>
    </row>
    <row r="2236" spans="1:4" x14ac:dyDescent="0.25">
      <c r="A2236" t="str">
        <f>T("   680210")</f>
        <v xml:space="preserve">   680210</v>
      </c>
      <c r="B2236" t="s">
        <v>292</v>
      </c>
      <c r="C2236">
        <v>54572361</v>
      </c>
      <c r="D2236">
        <v>280597</v>
      </c>
    </row>
    <row r="2237" spans="1:4" x14ac:dyDescent="0.25">
      <c r="A2237" t="str">
        <f>T("   680221")</f>
        <v xml:space="preserve">   680221</v>
      </c>
      <c r="B2237" t="s">
        <v>293</v>
      </c>
      <c r="C2237">
        <v>6559205</v>
      </c>
      <c r="D2237">
        <v>37186</v>
      </c>
    </row>
    <row r="2238" spans="1:4" x14ac:dyDescent="0.25">
      <c r="A2238" t="str">
        <f>T("   680223")</f>
        <v xml:space="preserve">   680223</v>
      </c>
      <c r="B2238" t="str">
        <f>T("   Granit et ouvrages en ces pierres, simplement taillés ou sciés, à surface plane ou unie (sauf à surface entièrement ou partiellement rabotée, poncée au papier sablé, grossièrement ou finement meulée ou polie; non du n° 6801.00.00 ou 6802.10.00)")</f>
        <v xml:space="preserve">   Granit et ouvrages en ces pierres, simplement taillés ou sciés, à surface plane ou unie (sauf à surface entièrement ou partiellement rabotée, poncée au papier sablé, grossièrement ou finement meulée ou polie; non du n° 6801.00.00 ou 6802.10.00)</v>
      </c>
      <c r="C2238">
        <v>3578827</v>
      </c>
      <c r="D2238">
        <v>26800</v>
      </c>
    </row>
    <row r="2239" spans="1:4" x14ac:dyDescent="0.25">
      <c r="A2239" t="str">
        <f>T("   680229")</f>
        <v xml:space="preserve">   680229</v>
      </c>
      <c r="B2239" t="s">
        <v>294</v>
      </c>
      <c r="C2239">
        <v>11542624</v>
      </c>
      <c r="D2239">
        <v>76772</v>
      </c>
    </row>
    <row r="2240" spans="1:4" x14ac:dyDescent="0.25">
      <c r="A2240" t="str">
        <f>T("   680291")</f>
        <v xml:space="preserve">   680291</v>
      </c>
      <c r="B2240" t="s">
        <v>295</v>
      </c>
      <c r="C2240">
        <v>230141</v>
      </c>
      <c r="D2240">
        <v>1050</v>
      </c>
    </row>
    <row r="2241" spans="1:4" x14ac:dyDescent="0.25">
      <c r="A2241" t="str">
        <f>T("   680299")</f>
        <v xml:space="preserve">   680299</v>
      </c>
      <c r="B2241" t="s">
        <v>296</v>
      </c>
      <c r="C2241">
        <v>4476673</v>
      </c>
      <c r="D2241">
        <v>17381</v>
      </c>
    </row>
    <row r="2242" spans="1:4" x14ac:dyDescent="0.25">
      <c r="A2242" t="str">
        <f>T("   680422")</f>
        <v xml:space="preserve">   680422</v>
      </c>
      <c r="B2242" t="s">
        <v>298</v>
      </c>
      <c r="C2242">
        <v>3855733</v>
      </c>
      <c r="D2242">
        <v>2411</v>
      </c>
    </row>
    <row r="2243" spans="1:4" x14ac:dyDescent="0.25">
      <c r="A2243" t="str">
        <f>T("   680520")</f>
        <v xml:space="preserve">   680520</v>
      </c>
      <c r="B2243" t="str">
        <f>T("   ABRASIFS NATURELS OU ARTIFICIELS EN POUDRE OU EN GRAINS, APPLIQUÉS SUR FOND EN MATIÈRES TEXTILES SEULEMENT, MÊME DÉCOUPÉS, COUSUS OU AUTREMENT ASSEMBLÉS")</f>
        <v xml:space="preserve">   ABRASIFS NATURELS OU ARTIFICIELS EN POUDRE OU EN GRAINS, APPLIQUÉS SUR FOND EN MATIÈRES TEXTILES SEULEMENT, MÊME DÉCOUPÉS, COUSUS OU AUTREMENT ASSEMBLÉS</v>
      </c>
      <c r="C2243">
        <v>12500000</v>
      </c>
      <c r="D2243">
        <v>93210</v>
      </c>
    </row>
    <row r="2244" spans="1:4" x14ac:dyDescent="0.25">
      <c r="A2244" t="str">
        <f>T("   680919")</f>
        <v xml:space="preserve">   680919</v>
      </c>
      <c r="B2244" t="s">
        <v>301</v>
      </c>
      <c r="C2244">
        <v>9682014</v>
      </c>
      <c r="D2244">
        <v>71137</v>
      </c>
    </row>
    <row r="2245" spans="1:4" x14ac:dyDescent="0.25">
      <c r="A2245" t="str">
        <f>T("   680990")</f>
        <v xml:space="preserve">   680990</v>
      </c>
      <c r="B2245" t="s">
        <v>302</v>
      </c>
      <c r="C2245">
        <v>18222320</v>
      </c>
      <c r="D2245">
        <v>77069</v>
      </c>
    </row>
    <row r="2246" spans="1:4" x14ac:dyDescent="0.25">
      <c r="A2246" t="str">
        <f>T("   681019")</f>
        <v xml:space="preserve">   681019</v>
      </c>
      <c r="B2246" t="str">
        <f>T("   Tuiles, carreaux, dalles et articles simil., en ciment, en béton ou en pierre artificielle (autres que blocs et briques pour la construction)")</f>
        <v xml:space="preserve">   Tuiles, carreaux, dalles et articles simil., en ciment, en béton ou en pierre artificielle (autres que blocs et briques pour la construction)</v>
      </c>
      <c r="C2246">
        <v>271777730</v>
      </c>
      <c r="D2246">
        <v>2649904</v>
      </c>
    </row>
    <row r="2247" spans="1:4" x14ac:dyDescent="0.25">
      <c r="A2247" t="str">
        <f>T("   681099")</f>
        <v xml:space="preserve">   681099</v>
      </c>
      <c r="B2247" t="str">
        <f>T("   Ouvrages en ciment, en béton ou en pierres artificielles, même armés (sauf éléments préfabriqués pour le bâtiment ou le génie civil; tuiles, carreaux, dalles, briques et articles simil.)")</f>
        <v xml:space="preserve">   Ouvrages en ciment, en béton ou en pierres artificielles, même armés (sauf éléments préfabriqués pour le bâtiment ou le génie civil; tuiles, carreaux, dalles, briques et articles simil.)</v>
      </c>
      <c r="C2247">
        <v>5480000</v>
      </c>
      <c r="D2247">
        <v>60975</v>
      </c>
    </row>
    <row r="2248" spans="1:4" x14ac:dyDescent="0.25">
      <c r="A2248" t="str">
        <f>T("   681110")</f>
        <v xml:space="preserve">   681110</v>
      </c>
      <c r="B2248" t="str">
        <f>T("   Plaques ondulées en amiante-ciment, cellulose-ciment ou simil.")</f>
        <v xml:space="preserve">   Plaques ondulées en amiante-ciment, cellulose-ciment ou simil.</v>
      </c>
      <c r="C2248">
        <v>44147075</v>
      </c>
      <c r="D2248">
        <v>560819</v>
      </c>
    </row>
    <row r="2249" spans="1:4" x14ac:dyDescent="0.25">
      <c r="A2249" t="str">
        <f>T("   681120")</f>
        <v xml:space="preserve">   681120</v>
      </c>
      <c r="B2249" t="str">
        <f>T("   Plaques, panneaux, carreaux, tuiles et articles simil., en amiante-ciment, cellulose-ciment ou simil. (sauf plaques ondulées)")</f>
        <v xml:space="preserve">   Plaques, panneaux, carreaux, tuiles et articles simil., en amiante-ciment, cellulose-ciment ou simil. (sauf plaques ondulées)</v>
      </c>
      <c r="C2249">
        <v>25161289</v>
      </c>
      <c r="D2249">
        <v>296039</v>
      </c>
    </row>
    <row r="2250" spans="1:4" x14ac:dyDescent="0.25">
      <c r="A2250" t="str">
        <f>T("   681190")</f>
        <v xml:space="preserve">   681190</v>
      </c>
      <c r="B2250" t="str">
        <f>T("   Ouvrages en amiante-ciment, cellulose-ciment ou simil. (sauf tuyaux, gaines et accessoires de tuyauterie et sauf plaques, y.c. les plaques ondulées, panneaux, carreaux, tuiles et articles simil.)")</f>
        <v xml:space="preserve">   Ouvrages en amiante-ciment, cellulose-ciment ou simil. (sauf tuyaux, gaines et accessoires de tuyauterie et sauf plaques, y.c. les plaques ondulées, panneaux, carreaux, tuiles et articles simil.)</v>
      </c>
      <c r="C2250">
        <v>2155751</v>
      </c>
      <c r="D2250">
        <v>9500</v>
      </c>
    </row>
    <row r="2251" spans="1:4" x14ac:dyDescent="0.25">
      <c r="A2251" t="str">
        <f>T("   681599")</f>
        <v xml:space="preserve">   681599</v>
      </c>
      <c r="B2251" t="str">
        <f>T("   Ouvrages en pierres ou en autres matières minérales n.d.a. (sauf contenant de la magnésite, de la dolomie ou de la chromite et ouvrages en graphite ou en autre carbone)")</f>
        <v xml:space="preserve">   Ouvrages en pierres ou en autres matières minérales n.d.a. (sauf contenant de la magnésite, de la dolomie ou de la chromite et ouvrages en graphite ou en autre carbone)</v>
      </c>
      <c r="C2251">
        <v>500000</v>
      </c>
      <c r="D2251">
        <v>6880</v>
      </c>
    </row>
    <row r="2252" spans="1:4" x14ac:dyDescent="0.25">
      <c r="A2252" t="str">
        <f>T("   690100")</f>
        <v xml:space="preserve">   690100</v>
      </c>
      <c r="B2252" t="str">
        <f>T("   Briques, dalles, carreaux et autres pièces céramiques, en farines siliceuses fossiles [p.ex. kieselguhr, tripolite, diatomite], ou en terres siliceuses analogues")</f>
        <v xml:space="preserve">   Briques, dalles, carreaux et autres pièces céramiques, en farines siliceuses fossiles [p.ex. kieselguhr, tripolite, diatomite], ou en terres siliceuses analogues</v>
      </c>
      <c r="C2252">
        <v>4000000</v>
      </c>
      <c r="D2252">
        <v>28210</v>
      </c>
    </row>
    <row r="2253" spans="1:4" x14ac:dyDescent="0.25">
      <c r="A2253" t="str">
        <f>T("   690290")</f>
        <v xml:space="preserve">   690290</v>
      </c>
      <c r="B2253" t="s">
        <v>305</v>
      </c>
      <c r="C2253">
        <v>4361886</v>
      </c>
      <c r="D2253">
        <v>17297</v>
      </c>
    </row>
    <row r="2254" spans="1:4" x14ac:dyDescent="0.25">
      <c r="A2254" t="str">
        <f>T("   690510")</f>
        <v xml:space="preserve">   690510</v>
      </c>
      <c r="B2254" t="str">
        <f>T("   Tuiles")</f>
        <v xml:space="preserve">   Tuiles</v>
      </c>
      <c r="C2254">
        <v>23925906</v>
      </c>
      <c r="D2254">
        <v>186612</v>
      </c>
    </row>
    <row r="2255" spans="1:4" x14ac:dyDescent="0.25">
      <c r="A2255" t="str">
        <f>T("   690590")</f>
        <v xml:space="preserve">   690590</v>
      </c>
      <c r="B2255" t="s">
        <v>308</v>
      </c>
      <c r="C2255">
        <v>807190</v>
      </c>
      <c r="D2255">
        <v>8476</v>
      </c>
    </row>
    <row r="2256" spans="1:4" x14ac:dyDescent="0.25">
      <c r="A2256" t="str">
        <f>T("   690710")</f>
        <v xml:space="preserve">   690710</v>
      </c>
      <c r="B2256" t="str">
        <f>T("   Carreaux, cubes, dés et articles simil., en céramique, pour mosaïques, non vernissés ni émaillés, même de forme autre que carrée ou rectangulaire, dont la plus grande surface peut être inscrite dans un carré de côté &lt; 7 cm, même sur support")</f>
        <v xml:space="preserve">   Carreaux, cubes, dés et articles simil., en céramique, pour mosaïques, non vernissés ni émaillés, même de forme autre que carrée ou rectangulaire, dont la plus grande surface peut être inscrite dans un carré de côté &lt; 7 cm, même sur support</v>
      </c>
      <c r="C2256">
        <v>2000000</v>
      </c>
      <c r="D2256">
        <v>4000</v>
      </c>
    </row>
    <row r="2257" spans="1:4" x14ac:dyDescent="0.25">
      <c r="A2257" t="str">
        <f>T("   690790")</f>
        <v xml:space="preserve">   690790</v>
      </c>
      <c r="B2257" t="s">
        <v>310</v>
      </c>
      <c r="C2257">
        <v>360304404</v>
      </c>
      <c r="D2257">
        <v>2911009</v>
      </c>
    </row>
    <row r="2258" spans="1:4" x14ac:dyDescent="0.25">
      <c r="A2258" t="str">
        <f>T("   690810")</f>
        <v xml:space="preserve">   690810</v>
      </c>
      <c r="B2258" t="str">
        <f>T("   Carreaux, cubes, dés et simil., en céramique, pour mosaïques, vernissés ou émaillés, même de forme autre que carrée ou rectangulaire, dont la plus grande surface peut être inscrite dans un carré de côté &lt; 7 cm, même sur support")</f>
        <v xml:space="preserve">   Carreaux, cubes, dés et simil., en céramique, pour mosaïques, vernissés ou émaillés, même de forme autre que carrée ou rectangulaire, dont la plus grande surface peut être inscrite dans un carré de côté &lt; 7 cm, même sur support</v>
      </c>
      <c r="C2258">
        <v>34135604</v>
      </c>
      <c r="D2258">
        <v>236704</v>
      </c>
    </row>
    <row r="2259" spans="1:4" x14ac:dyDescent="0.25">
      <c r="A2259" t="str">
        <f>T("   690890")</f>
        <v xml:space="preserve">   690890</v>
      </c>
      <c r="B2259" t="s">
        <v>311</v>
      </c>
      <c r="C2259">
        <v>1669247681</v>
      </c>
      <c r="D2259">
        <v>14003463.550000001</v>
      </c>
    </row>
    <row r="2260" spans="1:4" x14ac:dyDescent="0.25">
      <c r="A2260" t="str">
        <f>T("   691010")</f>
        <v xml:space="preserve">   691010</v>
      </c>
      <c r="B2260" t="s">
        <v>312</v>
      </c>
      <c r="C2260">
        <v>22400561</v>
      </c>
      <c r="D2260">
        <v>89769</v>
      </c>
    </row>
    <row r="2261" spans="1:4" x14ac:dyDescent="0.25">
      <c r="A2261" t="str">
        <f>T("   691090")</f>
        <v xml:space="preserve">   691090</v>
      </c>
      <c r="B2261" t="s">
        <v>313</v>
      </c>
      <c r="C2261">
        <v>211224370</v>
      </c>
      <c r="D2261">
        <v>1030196</v>
      </c>
    </row>
    <row r="2262" spans="1:4" x14ac:dyDescent="0.25">
      <c r="A2262" t="str">
        <f>T("   691110")</f>
        <v xml:space="preserve">   691110</v>
      </c>
      <c r="B2262" t="s">
        <v>314</v>
      </c>
      <c r="C2262">
        <v>25077110</v>
      </c>
      <c r="D2262">
        <v>83010</v>
      </c>
    </row>
    <row r="2263" spans="1:4" x14ac:dyDescent="0.25">
      <c r="A2263" t="str">
        <f>T("   691190")</f>
        <v xml:space="preserve">   691190</v>
      </c>
      <c r="B2263" t="s">
        <v>315</v>
      </c>
      <c r="C2263">
        <v>62378064</v>
      </c>
      <c r="D2263">
        <v>192378</v>
      </c>
    </row>
    <row r="2264" spans="1:4" x14ac:dyDescent="0.25">
      <c r="A2264" t="str">
        <f>T("   691200")</f>
        <v xml:space="preserve">   691200</v>
      </c>
      <c r="B2264" t="s">
        <v>316</v>
      </c>
      <c r="C2264">
        <v>18458025</v>
      </c>
      <c r="D2264">
        <v>85877</v>
      </c>
    </row>
    <row r="2265" spans="1:4" x14ac:dyDescent="0.25">
      <c r="A2265" t="str">
        <f>T("   691310")</f>
        <v xml:space="preserve">   691310</v>
      </c>
      <c r="B2265" t="str">
        <f>T("   Statuettes et autres objets d'ornementation en porcelaine n.d.a.")</f>
        <v xml:space="preserve">   Statuettes et autres objets d'ornementation en porcelaine n.d.a.</v>
      </c>
      <c r="C2265">
        <v>767220</v>
      </c>
      <c r="D2265">
        <v>1522</v>
      </c>
    </row>
    <row r="2266" spans="1:4" x14ac:dyDescent="0.25">
      <c r="A2266" t="str">
        <f>T("   691390")</f>
        <v xml:space="preserve">   691390</v>
      </c>
      <c r="B2266" t="str">
        <f>T("   Statuettes et autres objets d'ornementation en céramique autres que la porcelaine n.d.a.")</f>
        <v xml:space="preserve">   Statuettes et autres objets d'ornementation en céramique autres que la porcelaine n.d.a.</v>
      </c>
      <c r="C2266">
        <v>3232749</v>
      </c>
      <c r="D2266">
        <v>7049</v>
      </c>
    </row>
    <row r="2267" spans="1:4" x14ac:dyDescent="0.25">
      <c r="A2267" t="str">
        <f>T("   691490")</f>
        <v xml:space="preserve">   691490</v>
      </c>
      <c r="B2267" t="str">
        <f>T("   Ouvrages en céramique autres que la porcelaine n.d.a.")</f>
        <v xml:space="preserve">   Ouvrages en céramique autres que la porcelaine n.d.a.</v>
      </c>
      <c r="C2267">
        <v>562438</v>
      </c>
      <c r="D2267">
        <v>19990</v>
      </c>
    </row>
    <row r="2268" spans="1:4" x14ac:dyDescent="0.25">
      <c r="A2268" t="str">
        <f>T("   700220")</f>
        <v xml:space="preserve">   700220</v>
      </c>
      <c r="B2268" t="str">
        <f>T("   BARRES OU BAGUETTES EN VERRE NON-TRAVAILLÉ")</f>
        <v xml:space="preserve">   BARRES OU BAGUETTES EN VERRE NON-TRAVAILLÉ</v>
      </c>
      <c r="C2268">
        <v>8000000</v>
      </c>
      <c r="D2268">
        <v>32000</v>
      </c>
    </row>
    <row r="2269" spans="1:4" x14ac:dyDescent="0.25">
      <c r="A2269" t="str">
        <f>T("   700319")</f>
        <v xml:space="preserve">   700319</v>
      </c>
      <c r="B2269" t="str">
        <f>T("   PLAQUES ET FEUILLES EN VERRE DIT 'COULÉ', MAIS NON AUTREMENT TRAVAILLÉ (AUTRES QUE COLORÉES DANS LA MASSE, OPACIFIÉES, PLAQUÉES [DOUBLÉES], OU À COUCHE RÉFLÉCHISSANTE OU NON-RÉFLÉCHISSANTE ET SAUF EN VERRE ARMÉ)")</f>
        <v xml:space="preserve">   PLAQUES ET FEUILLES EN VERRE DIT 'COULÉ', MAIS NON AUTREMENT TRAVAILLÉ (AUTRES QUE COLORÉES DANS LA MASSE, OPACIFIÉES, PLAQUÉES [DOUBLÉES], OU À COUCHE RÉFLÉCHISSANTE OU NON-RÉFLÉCHISSANTE ET SAUF EN VERRE ARMÉ)</v>
      </c>
      <c r="C2269">
        <v>5064420</v>
      </c>
      <c r="D2269">
        <v>26600</v>
      </c>
    </row>
    <row r="2270" spans="1:4" x14ac:dyDescent="0.25">
      <c r="A2270" t="str">
        <f>T("   700490")</f>
        <v xml:space="preserve">   700490</v>
      </c>
      <c r="B2270" t="str">
        <f>T("   FEUILLES EN VERRE ÉTIRÉ OU SOUFFLÉ MAIS NON AUTREMENT TRAVAILLÉ (AUTRES QU'EN VERRE COLORÉ DANS LA MASSE, OPACIFIÉ, PLAQUÉ [DOUBLÉ], OU À COUCHE ABSORBANTE, RÉFLÉCHISSANTE OU NON-RÉFLÉCHISSANTE)")</f>
        <v xml:space="preserve">   FEUILLES EN VERRE ÉTIRÉ OU SOUFFLÉ MAIS NON AUTREMENT TRAVAILLÉ (AUTRES QU'EN VERRE COLORÉ DANS LA MASSE, OPACIFIÉ, PLAQUÉ [DOUBLÉ], OU À COUCHE ABSORBANTE, RÉFLÉCHISSANTE OU NON-RÉFLÉCHISSANTE)</v>
      </c>
      <c r="C2270">
        <v>17183415</v>
      </c>
      <c r="D2270">
        <v>170287</v>
      </c>
    </row>
    <row r="2271" spans="1:4" x14ac:dyDescent="0.25">
      <c r="A2271" t="str">
        <f>T("   700510")</f>
        <v xml:space="preserve">   700510</v>
      </c>
      <c r="B2271" t="str">
        <f>T("   PLAQUES OU FEUILLES EN GLACE [VERRE FLOTTÉ ET VERRE DOUCI OU POLI SUR UNE OU DEUX FACES], À COUCHE ABSORBANTE, RÉFLÉCHISSANTE OU NON-RÉFLÉCHISSANTE, MAIS NON AUTREMENT TRAVAILLÉE (SAUF ARMÉE)")</f>
        <v xml:space="preserve">   PLAQUES OU FEUILLES EN GLACE [VERRE FLOTTÉ ET VERRE DOUCI OU POLI SUR UNE OU DEUX FACES], À COUCHE ABSORBANTE, RÉFLÉCHISSANTE OU NON-RÉFLÉCHISSANTE, MAIS NON AUTREMENT TRAVAILLÉE (SAUF ARMÉE)</v>
      </c>
      <c r="C2271">
        <v>43818722</v>
      </c>
      <c r="D2271">
        <v>205345</v>
      </c>
    </row>
    <row r="2272" spans="1:4" x14ac:dyDescent="0.25">
      <c r="A2272" t="str">
        <f>T("   700521")</f>
        <v xml:space="preserve">   700521</v>
      </c>
      <c r="B2272" t="s">
        <v>317</v>
      </c>
      <c r="C2272">
        <v>12313771</v>
      </c>
      <c r="D2272">
        <v>55416</v>
      </c>
    </row>
    <row r="2273" spans="1:4" x14ac:dyDescent="0.25">
      <c r="A2273" t="str">
        <f>T("   700529")</f>
        <v xml:space="preserve">   700529</v>
      </c>
      <c r="B2273" t="s">
        <v>318</v>
      </c>
      <c r="C2273">
        <v>101112790</v>
      </c>
      <c r="D2273">
        <v>624381</v>
      </c>
    </row>
    <row r="2274" spans="1:4" x14ac:dyDescent="0.25">
      <c r="A2274" t="str">
        <f>T("   700530")</f>
        <v xml:space="preserve">   700530</v>
      </c>
      <c r="B2274" t="str">
        <f>T("   Plaques ou feuilles en glace [verre flotté et verre douci ou poli sur une ou deux faces], même à couche absorbante, réfléchissante ou non réfléchissante, armée, mais non autrement travaillée")</f>
        <v xml:space="preserve">   Plaques ou feuilles en glace [verre flotté et verre douci ou poli sur une ou deux faces], même à couche absorbante, réfléchissante ou non réfléchissante, armée, mais non autrement travaillée</v>
      </c>
      <c r="C2274">
        <v>1500366</v>
      </c>
      <c r="D2274">
        <v>16250</v>
      </c>
    </row>
    <row r="2275" spans="1:4" x14ac:dyDescent="0.25">
      <c r="A2275" t="str">
        <f>T("   700600")</f>
        <v xml:space="preserve">   700600</v>
      </c>
      <c r="B2275" t="s">
        <v>319</v>
      </c>
      <c r="C2275">
        <v>12968187</v>
      </c>
      <c r="D2275">
        <v>86217</v>
      </c>
    </row>
    <row r="2276" spans="1:4" x14ac:dyDescent="0.25">
      <c r="A2276" t="str">
        <f>T("   700711")</f>
        <v xml:space="preserve">   700711</v>
      </c>
      <c r="B2276" t="str">
        <f>T("   VERRES TREMPÉS DE DIMENSIONS ET FORMATS PERMETTANT LEUR EMPLOI DANS LES AUTOMOBILES, VÉHICULES AÉRIENS, BATEAUX OU AUTRES VÉHICULES [01/01/1988-31/12/1988: VERRES TREMPES, -DE SECURITE-, POUR AUTOMOBILES, AERODYNES, BATEAUX OU AUTRES VÉHICULES]")</f>
        <v xml:space="preserve">   VERRES TREMPÉS DE DIMENSIONS ET FORMATS PERMETTANT LEUR EMPLOI DANS LES AUTOMOBILES, VÉHICULES AÉRIENS, BATEAUX OU AUTRES VÉHICULES [01/01/1988-31/12/1988: VERRES TREMPES, -DE SECURITE-, POUR AUTOMOBILES, AERODYNES, BATEAUX OU AUTRES VÉHICULES]</v>
      </c>
      <c r="C2276">
        <v>387682</v>
      </c>
      <c r="D2276">
        <v>3791</v>
      </c>
    </row>
    <row r="2277" spans="1:4" x14ac:dyDescent="0.25">
      <c r="A2277" t="str">
        <f>T("   700719")</f>
        <v xml:space="preserve">   700719</v>
      </c>
      <c r="B2277" t="s">
        <v>320</v>
      </c>
      <c r="C2277">
        <v>3127000</v>
      </c>
      <c r="D2277">
        <v>950</v>
      </c>
    </row>
    <row r="2278" spans="1:4" x14ac:dyDescent="0.25">
      <c r="A2278" t="str">
        <f>T("   700800")</f>
        <v xml:space="preserve">   700800</v>
      </c>
      <c r="B2278" t="str">
        <f>T("   Vitrages isolants à parois multiples")</f>
        <v xml:space="preserve">   Vitrages isolants à parois multiples</v>
      </c>
      <c r="C2278">
        <v>4000000</v>
      </c>
      <c r="D2278">
        <v>14050</v>
      </c>
    </row>
    <row r="2279" spans="1:4" x14ac:dyDescent="0.25">
      <c r="A2279" t="str">
        <f>T("   700910")</f>
        <v xml:space="preserve">   700910</v>
      </c>
      <c r="B2279" t="str">
        <f>T("   Miroirs rétroviseurs en verre, même encadrés, pour véhicules")</f>
        <v xml:space="preserve">   Miroirs rétroviseurs en verre, même encadrés, pour véhicules</v>
      </c>
      <c r="C2279">
        <v>3237050</v>
      </c>
      <c r="D2279">
        <v>408</v>
      </c>
    </row>
    <row r="2280" spans="1:4" x14ac:dyDescent="0.25">
      <c r="A2280" t="str">
        <f>T("   700991")</f>
        <v xml:space="preserve">   700991</v>
      </c>
      <c r="B2280" t="str">
        <f>T("   Miroirs en verre non encadrés (sauf miroirs rétroviseurs pour véhicules, miroirs optiques, optiquement travaillés et miroirs de plus de 100 ans)")</f>
        <v xml:space="preserve">   Miroirs en verre non encadrés (sauf miroirs rétroviseurs pour véhicules, miroirs optiques, optiquement travaillés et miroirs de plus de 100 ans)</v>
      </c>
      <c r="C2280">
        <v>19031572</v>
      </c>
      <c r="D2280">
        <v>45385.5</v>
      </c>
    </row>
    <row r="2281" spans="1:4" x14ac:dyDescent="0.25">
      <c r="A2281" t="str">
        <f>T("   700992")</f>
        <v xml:space="preserve">   700992</v>
      </c>
      <c r="B2281" t="str">
        <f>T("   Miroirs, en verre encadrés (sauf miroirs rétroviseurs pour véhicules)")</f>
        <v xml:space="preserve">   Miroirs, en verre encadrés (sauf miroirs rétroviseurs pour véhicules)</v>
      </c>
      <c r="C2281">
        <v>10407316</v>
      </c>
      <c r="D2281">
        <v>13559</v>
      </c>
    </row>
    <row r="2282" spans="1:4" x14ac:dyDescent="0.25">
      <c r="A2282" t="str">
        <f>T("   701010")</f>
        <v xml:space="preserve">   701010</v>
      </c>
      <c r="B2282" t="str">
        <f>T("   AMPOULES EN VERRE")</f>
        <v xml:space="preserve">   AMPOULES EN VERRE</v>
      </c>
      <c r="C2282">
        <v>1496000</v>
      </c>
      <c r="D2282">
        <v>5217</v>
      </c>
    </row>
    <row r="2283" spans="1:4" x14ac:dyDescent="0.25">
      <c r="A2283" t="str">
        <f>T("   701090")</f>
        <v xml:space="preserve">   701090</v>
      </c>
      <c r="B2283" t="s">
        <v>323</v>
      </c>
      <c r="C2283">
        <v>35503491</v>
      </c>
      <c r="D2283">
        <v>118377</v>
      </c>
    </row>
    <row r="2284" spans="1:4" x14ac:dyDescent="0.25">
      <c r="A2284" t="str">
        <f>T("   701092")</f>
        <v xml:space="preserve">   701092</v>
      </c>
      <c r="B2284" t="s">
        <v>325</v>
      </c>
      <c r="C2284">
        <v>442448</v>
      </c>
      <c r="D2284">
        <v>18040</v>
      </c>
    </row>
    <row r="2285" spans="1:4" x14ac:dyDescent="0.25">
      <c r="A2285" t="str">
        <f>T("   701110")</f>
        <v xml:space="preserve">   701110</v>
      </c>
      <c r="B2285" t="str">
        <f>T("   Ampoules en verre, ouvertes, et enveloppes tubulaires en verre, ouvertes, et leurs parties en verre, sans garnitures, pour l'éclairage électrique")</f>
        <v xml:space="preserve">   Ampoules en verre, ouvertes, et enveloppes tubulaires en verre, ouvertes, et leurs parties en verre, sans garnitures, pour l'éclairage électrique</v>
      </c>
      <c r="C2285">
        <v>49555258</v>
      </c>
      <c r="D2285">
        <v>203271</v>
      </c>
    </row>
    <row r="2286" spans="1:4" x14ac:dyDescent="0.25">
      <c r="A2286" t="str">
        <f>T("   701190")</f>
        <v xml:space="preserve">   701190</v>
      </c>
      <c r="B2286" t="str">
        <f>T("   Ampoules en verre, ouvertes, et enveloppes tubulaires en verre, ouvertes, et leurs parties en verre, sans garnitures, destinées à des lampes électriques ou simil. (autres que pour l'éclairage électrique ou pour tubes cathodique)")</f>
        <v xml:space="preserve">   Ampoules en verre, ouvertes, et enveloppes tubulaires en verre, ouvertes, et leurs parties en verre, sans garnitures, destinées à des lampes électriques ou simil. (autres que pour l'éclairage électrique ou pour tubes cathodique)</v>
      </c>
      <c r="C2286">
        <v>1616485</v>
      </c>
      <c r="D2286">
        <v>6794.17</v>
      </c>
    </row>
    <row r="2287" spans="1:4" x14ac:dyDescent="0.25">
      <c r="A2287" t="str">
        <f>T("   701200")</f>
        <v xml:space="preserve">   701200</v>
      </c>
      <c r="B2287" t="str">
        <f>T("   Ampoules en verre pour bouteilles isolantes ou pour autres récipients isothermiques, dont l'isolation est assurée par le vide")</f>
        <v xml:space="preserve">   Ampoules en verre pour bouteilles isolantes ou pour autres récipients isothermiques, dont l'isolation est assurée par le vide</v>
      </c>
      <c r="C2287">
        <v>4000000</v>
      </c>
      <c r="D2287">
        <v>11600</v>
      </c>
    </row>
    <row r="2288" spans="1:4" x14ac:dyDescent="0.25">
      <c r="A2288" t="str">
        <f>T("   701310")</f>
        <v xml:space="preserve">   701310</v>
      </c>
      <c r="B2288" t="s">
        <v>327</v>
      </c>
      <c r="C2288">
        <v>982148</v>
      </c>
      <c r="D2288">
        <v>2603</v>
      </c>
    </row>
    <row r="2289" spans="1:4" x14ac:dyDescent="0.25">
      <c r="A2289" t="str">
        <f>T("   701329")</f>
        <v xml:space="preserve">   701329</v>
      </c>
      <c r="B2289" t="str">
        <f>T("   Verres à boire (autres qu'en vitrocérame, autres qu'en cristal au plomb)")</f>
        <v xml:space="preserve">   Verres à boire (autres qu'en vitrocérame, autres qu'en cristal au plomb)</v>
      </c>
      <c r="C2289">
        <v>31695118</v>
      </c>
      <c r="D2289">
        <v>131161</v>
      </c>
    </row>
    <row r="2290" spans="1:4" x14ac:dyDescent="0.25">
      <c r="A2290" t="str">
        <f>T("   701332")</f>
        <v xml:space="preserve">   701332</v>
      </c>
      <c r="B2290" t="s">
        <v>329</v>
      </c>
      <c r="C2290">
        <v>8661710</v>
      </c>
      <c r="D2290">
        <v>28450</v>
      </c>
    </row>
    <row r="2291" spans="1:4" x14ac:dyDescent="0.25">
      <c r="A2291" t="str">
        <f>T("   701339")</f>
        <v xml:space="preserve">   701339</v>
      </c>
      <c r="B2291" t="s">
        <v>330</v>
      </c>
      <c r="C2291">
        <v>9577767</v>
      </c>
      <c r="D2291">
        <v>29671</v>
      </c>
    </row>
    <row r="2292" spans="1:4" x14ac:dyDescent="0.25">
      <c r="A2292" t="str">
        <f>T("   701399")</f>
        <v xml:space="preserve">   701399</v>
      </c>
      <c r="B2292" t="s">
        <v>332</v>
      </c>
      <c r="C2292">
        <v>4514909</v>
      </c>
      <c r="D2292">
        <v>11053</v>
      </c>
    </row>
    <row r="2293" spans="1:4" x14ac:dyDescent="0.25">
      <c r="A2293" t="str">
        <f>T("   701610")</f>
        <v xml:space="preserve">   701610</v>
      </c>
      <c r="B2293" t="str">
        <f>T("   Cubes, dés et autre verrerie même sur support, pour mosaïques ou décorations simil. (sauf panneaux et autres motifs décoratifs prêts à l'emploi en cubes de verre, pour mosaïques)")</f>
        <v xml:space="preserve">   Cubes, dés et autre verrerie même sur support, pour mosaïques ou décorations simil. (sauf panneaux et autres motifs décoratifs prêts à l'emploi en cubes de verre, pour mosaïques)</v>
      </c>
      <c r="C2293">
        <v>19458815</v>
      </c>
      <c r="D2293">
        <v>29369</v>
      </c>
    </row>
    <row r="2294" spans="1:4" x14ac:dyDescent="0.25">
      <c r="A2294" t="str">
        <f>T("   701690")</f>
        <v xml:space="preserve">   701690</v>
      </c>
      <c r="B2294" t="s">
        <v>334</v>
      </c>
      <c r="C2294">
        <v>3000000</v>
      </c>
      <c r="D2294">
        <v>21620</v>
      </c>
    </row>
    <row r="2295" spans="1:4" x14ac:dyDescent="0.25">
      <c r="A2295" t="str">
        <f>T("   701720")</f>
        <v xml:space="preserve">   701720</v>
      </c>
      <c r="B2295" t="s">
        <v>336</v>
      </c>
      <c r="C2295">
        <v>2498592</v>
      </c>
      <c r="D2295">
        <v>1465</v>
      </c>
    </row>
    <row r="2296" spans="1:4" x14ac:dyDescent="0.25">
      <c r="A2296" t="str">
        <f>T("   701790")</f>
        <v xml:space="preserve">   701790</v>
      </c>
      <c r="B2296" t="s">
        <v>337</v>
      </c>
      <c r="C2296">
        <v>100000</v>
      </c>
      <c r="D2296">
        <v>1500</v>
      </c>
    </row>
    <row r="2297" spans="1:4" x14ac:dyDescent="0.25">
      <c r="A2297" t="str">
        <f>T("   701810")</f>
        <v xml:space="preserve">   701810</v>
      </c>
      <c r="B2297" t="s">
        <v>338</v>
      </c>
      <c r="C2297">
        <v>26843</v>
      </c>
      <c r="D2297">
        <v>350</v>
      </c>
    </row>
    <row r="2298" spans="1:4" x14ac:dyDescent="0.25">
      <c r="A2298" t="str">
        <f>T("   701939")</f>
        <v xml:space="preserve">   701939</v>
      </c>
      <c r="B2298" t="str">
        <f>T("   Nappes, matelas, panneaux et produits simil., non tissés, de fibres de verre (à l'excl. des mats et des voiles)")</f>
        <v xml:space="preserve">   Nappes, matelas, panneaux et produits simil., non tissés, de fibres de verre (à l'excl. des mats et des voiles)</v>
      </c>
      <c r="C2298">
        <v>195408</v>
      </c>
      <c r="D2298">
        <v>400</v>
      </c>
    </row>
    <row r="2299" spans="1:4" x14ac:dyDescent="0.25">
      <c r="A2299" t="str">
        <f>T("   702000")</f>
        <v xml:space="preserve">   702000</v>
      </c>
      <c r="B2299" t="str">
        <f>T("   Ouvrages en verre n.d.a.")</f>
        <v xml:space="preserve">   Ouvrages en verre n.d.a.</v>
      </c>
      <c r="C2299">
        <v>26730658</v>
      </c>
      <c r="D2299">
        <v>104799</v>
      </c>
    </row>
    <row r="2300" spans="1:4" x14ac:dyDescent="0.25">
      <c r="A2300" t="str">
        <f>T("   711719")</f>
        <v xml:space="preserve">   711719</v>
      </c>
      <c r="B2300" t="str">
        <f>T("   Bijouterie de fantaisie en métaux communs, même argentés, dorés ou platinés (à l'excl. des boutons de manchettes et des boutons simil.)")</f>
        <v xml:space="preserve">   Bijouterie de fantaisie en métaux communs, même argentés, dorés ou platinés (à l'excl. des boutons de manchettes et des boutons simil.)</v>
      </c>
      <c r="C2300">
        <v>1460000</v>
      </c>
      <c r="D2300">
        <v>4250</v>
      </c>
    </row>
    <row r="2301" spans="1:4" x14ac:dyDescent="0.25">
      <c r="A2301" t="str">
        <f>T("   711790")</f>
        <v xml:space="preserve">   711790</v>
      </c>
      <c r="B2301" t="str">
        <f>T("   Bijouterie de fantaisie (autre qu'en métaux communs, même argentés, dorés ou platinés)")</f>
        <v xml:space="preserve">   Bijouterie de fantaisie (autre qu'en métaux communs, même argentés, dorés ou platinés)</v>
      </c>
      <c r="C2301">
        <v>11795992</v>
      </c>
      <c r="D2301">
        <v>3804</v>
      </c>
    </row>
    <row r="2302" spans="1:4" x14ac:dyDescent="0.25">
      <c r="A2302" t="str">
        <f>T("   720110")</f>
        <v xml:space="preserve">   720110</v>
      </c>
      <c r="B2302" t="str">
        <f>T("   FONTES BRUTES NON-ALLIÉES CONTENANT EN POIDS &lt;= 0,5% DE PHOSPHORE, EN GUEUSES, SAUMONS OU AUTRES FORMES PRIMAIRES")</f>
        <v xml:space="preserve">   FONTES BRUTES NON-ALLIÉES CONTENANT EN POIDS &lt;= 0,5% DE PHOSPHORE, EN GUEUSES, SAUMONS OU AUTRES FORMES PRIMAIRES</v>
      </c>
      <c r="C2302">
        <v>3000000</v>
      </c>
      <c r="D2302">
        <v>7920</v>
      </c>
    </row>
    <row r="2303" spans="1:4" x14ac:dyDescent="0.25">
      <c r="A2303" t="str">
        <f>T("   720410")</f>
        <v xml:space="preserve">   720410</v>
      </c>
      <c r="B2303" t="str">
        <f>T("   DÉCHETS ET DÉBRIS DE FONTE -FERRAILLES- (AUTRES QUE RADIOACTIFS)")</f>
        <v xml:space="preserve">   DÉCHETS ET DÉBRIS DE FONTE -FERRAILLES- (AUTRES QUE RADIOACTIFS)</v>
      </c>
      <c r="C2303">
        <v>217223</v>
      </c>
      <c r="D2303">
        <v>3050</v>
      </c>
    </row>
    <row r="2304" spans="1:4" x14ac:dyDescent="0.25">
      <c r="A2304" t="str">
        <f>T("   720690")</f>
        <v xml:space="preserve">   720690</v>
      </c>
      <c r="B2304" t="str">
        <f>T("   FER ET ACIERS NON ALLIÉS EN LOUPES BRUTES OU AUTRES FORMES BRUTES (AUTRES QUE LINGOTS BRUTS, DÉCHETS LINGOTÉS, PRODUITS DE COULÉE CONTINUE ET PRODUITS FERREUX OBTENUS PAR RÉDUCTION DIRECTE DES MINERAIS DE FER)")</f>
        <v xml:space="preserve">   FER ET ACIERS NON ALLIÉS EN LOUPES BRUTES OU AUTRES FORMES BRUTES (AUTRES QUE LINGOTS BRUTS, DÉCHETS LINGOTÉS, PRODUITS DE COULÉE CONTINUE ET PRODUITS FERREUX OBTENUS PAR RÉDUCTION DIRECTE DES MINERAIS DE FER)</v>
      </c>
      <c r="C2304">
        <v>10018488</v>
      </c>
      <c r="D2304">
        <v>72900</v>
      </c>
    </row>
    <row r="2305" spans="1:4" x14ac:dyDescent="0.25">
      <c r="A2305" t="str">
        <f>T("   720839")</f>
        <v xml:space="preserve">   720839</v>
      </c>
      <c r="B2305" t="str">
        <f>T("   PRODUITS LAMINÉS PLATS, EN FER OU EN ACIERS NON ALLIÉS, D'UNE LARGEUR &gt;= 600 MM, ENROULÉS, SIMPLEMENT LAMINÉS À CHAUD, NON PLAQUÉS NI REVÊTUS, ÉPAISSEUR &lt; 3 MM (SANS MOTIFS EN RELIEF, ET AUTRES QUE DÉCAPÉS)")</f>
        <v xml:space="preserve">   PRODUITS LAMINÉS PLATS, EN FER OU EN ACIERS NON ALLIÉS, D'UNE LARGEUR &gt;= 600 MM, ENROULÉS, SIMPLEMENT LAMINÉS À CHAUD, NON PLAQUÉS NI REVÊTUS, ÉPAISSEUR &lt; 3 MM (SANS MOTIFS EN RELIEF, ET AUTRES QUE DÉCAPÉS)</v>
      </c>
      <c r="C2305">
        <v>178626759</v>
      </c>
      <c r="D2305">
        <v>311610</v>
      </c>
    </row>
    <row r="2306" spans="1:4" x14ac:dyDescent="0.25">
      <c r="A2306" t="str">
        <f>T("   721041")</f>
        <v xml:space="preserve">   721041</v>
      </c>
      <c r="B2306" t="str">
        <f>T("   Produits laminés plats, en fer ou en aciers non alliés, d'une largeur &gt;= 600 mm, laminés à chaud ou à froid, zingués, ondulés (à l'excl. des produits zingués électrolytiquement)")</f>
        <v xml:space="preserve">   Produits laminés plats, en fer ou en aciers non alliés, d'une largeur &gt;= 600 mm, laminés à chaud ou à froid, zingués, ondulés (à l'excl. des produits zingués électrolytiquement)</v>
      </c>
      <c r="C2306">
        <v>446448740</v>
      </c>
      <c r="D2306">
        <v>2218880</v>
      </c>
    </row>
    <row r="2307" spans="1:4" x14ac:dyDescent="0.25">
      <c r="A2307" t="str">
        <f>T("   721049")</f>
        <v xml:space="preserve">   721049</v>
      </c>
      <c r="B2307" t="str">
        <f>T("   Produits laminés plats, en fer ou en aciers non alliés, d'une largeur &gt;= 600 mm, laminés à chaud ou à froid, zingués, non ondulés (à l'excl. des produits zingués électrolytiquement)")</f>
        <v xml:space="preserve">   Produits laminés plats, en fer ou en aciers non alliés, d'une largeur &gt;= 600 mm, laminés à chaud ou à froid, zingués, non ondulés (à l'excl. des produits zingués électrolytiquement)</v>
      </c>
      <c r="C2307">
        <v>189739387</v>
      </c>
      <c r="D2307">
        <v>368117</v>
      </c>
    </row>
    <row r="2308" spans="1:4" x14ac:dyDescent="0.25">
      <c r="A2308" t="str">
        <f>T("   721240")</f>
        <v xml:space="preserve">   721240</v>
      </c>
      <c r="B2308" t="str">
        <f>T("   PRODUITS LAMINÉS PLATS, EN FER OU EN ACIERS NON-ALLIÉS, D'UNE LARGEUR &lt; 600 MM, LAMINÉS À CHAUD OU À FROID, PEINTS, VERNIS OU REVÊTUS DE MATIÈRES PLASTIQUES")</f>
        <v xml:space="preserve">   PRODUITS LAMINÉS PLATS, EN FER OU EN ACIERS NON-ALLIÉS, D'UNE LARGEUR &lt; 600 MM, LAMINÉS À CHAUD OU À FROID, PEINTS, VERNIS OU REVÊTUS DE MATIÈRES PLASTIQUES</v>
      </c>
      <c r="C2308">
        <v>7910234</v>
      </c>
      <c r="D2308">
        <v>21608</v>
      </c>
    </row>
    <row r="2309" spans="1:4" x14ac:dyDescent="0.25">
      <c r="A2309" t="str">
        <f>T("   721420")</f>
        <v xml:space="preserve">   721420</v>
      </c>
      <c r="B2309" t="str">
        <f>T("   BARRES EN FER OU EN ACIERS NON ALLIÉS, COMPORTANT DES INDENTATIONS, BOURRELETS, CREUX OU RELIEFS OBTENUS AU COURS DU LAMINAGE OU AYANT SUBI UNE TORSION APRÈS LAMINAGE")</f>
        <v xml:space="preserve">   BARRES EN FER OU EN ACIERS NON ALLIÉS, COMPORTANT DES INDENTATIONS, BOURRELETS, CREUX OU RELIEFS OBTENUS AU COURS DU LAMINAGE OU AYANT SUBI UNE TORSION APRÈS LAMINAGE</v>
      </c>
      <c r="C2309">
        <v>19584804</v>
      </c>
      <c r="D2309">
        <v>75000</v>
      </c>
    </row>
    <row r="2310" spans="1:4" x14ac:dyDescent="0.25">
      <c r="A2310" t="str">
        <f>T("   721499")</f>
        <v xml:space="preserve">   721499</v>
      </c>
      <c r="B2310" t="s">
        <v>346</v>
      </c>
      <c r="C2310">
        <v>800000</v>
      </c>
      <c r="D2310">
        <v>1050</v>
      </c>
    </row>
    <row r="2311" spans="1:4" x14ac:dyDescent="0.25">
      <c r="A2311" t="str">
        <f>T("   721590")</f>
        <v xml:space="preserve">   721590</v>
      </c>
      <c r="B2311" t="str">
        <f>T("   Barres en fer ou en aciers non alliés, obtenues ou parachevées à froid et ayant subi certaines ouvraisons plus poussées ou obtenues à chaud et ayant subi certaines ouvraisons plus poussées, n.d.a.")</f>
        <v xml:space="preserve">   Barres en fer ou en aciers non alliés, obtenues ou parachevées à froid et ayant subi certaines ouvraisons plus poussées ou obtenues à chaud et ayant subi certaines ouvraisons plus poussées, n.d.a.</v>
      </c>
      <c r="C2311">
        <v>329198637</v>
      </c>
      <c r="D2311">
        <v>982611</v>
      </c>
    </row>
    <row r="2312" spans="1:4" x14ac:dyDescent="0.25">
      <c r="A2312" t="str">
        <f>T("   721632")</f>
        <v xml:space="preserve">   721632</v>
      </c>
      <c r="B2312" t="str">
        <f>T("   PROFILÉS EN I, EN FER OU EN ACIERS NON-ALLIÉS, SIMPL. LAMINÉS OU FILÉS À CHAUD, D'UNE HAUTEUR &gt;= 80 MM")</f>
        <v xml:space="preserve">   PROFILÉS EN I, EN FER OU EN ACIERS NON-ALLIÉS, SIMPL. LAMINÉS OU FILÉS À CHAUD, D'UNE HAUTEUR &gt;= 80 MM</v>
      </c>
      <c r="C2312">
        <v>544526</v>
      </c>
      <c r="D2312">
        <v>2000</v>
      </c>
    </row>
    <row r="2313" spans="1:4" x14ac:dyDescent="0.25">
      <c r="A2313" t="str">
        <f>T("   721669")</f>
        <v xml:space="preserve">   721669</v>
      </c>
      <c r="B2313" t="str">
        <f>T("   Profilés en fer ou en aciers non alliés, simplement obtenus ou parachevés à froid (à l'excl. des profilés obtenus à partir de produits laminés plats et des tôles nervurées)")</f>
        <v xml:space="preserve">   Profilés en fer ou en aciers non alliés, simplement obtenus ou parachevés à froid (à l'excl. des profilés obtenus à partir de produits laminés plats et des tôles nervurées)</v>
      </c>
      <c r="C2313">
        <v>18192779</v>
      </c>
      <c r="D2313">
        <v>56500</v>
      </c>
    </row>
    <row r="2314" spans="1:4" x14ac:dyDescent="0.25">
      <c r="A2314" t="str">
        <f>T("   721699")</f>
        <v xml:space="preserve">   721699</v>
      </c>
      <c r="B2314" t="s">
        <v>347</v>
      </c>
      <c r="C2314">
        <v>3020339</v>
      </c>
      <c r="D2314">
        <v>3750</v>
      </c>
    </row>
    <row r="2315" spans="1:4" x14ac:dyDescent="0.25">
      <c r="A2315" t="str">
        <f>T("   721710")</f>
        <v xml:space="preserve">   721710</v>
      </c>
      <c r="B2315" t="str">
        <f>T("   FILS EN FER OU EN ACIERS NON-ALLIÉS, ENROULÉS, NON-REVÊTUS, MÊME POLIS (À L'EXCL. DU FIL MACHINE)")</f>
        <v xml:space="preserve">   FILS EN FER OU EN ACIERS NON-ALLIÉS, ENROULÉS, NON-REVÊTUS, MÊME POLIS (À L'EXCL. DU FIL MACHINE)</v>
      </c>
      <c r="C2315">
        <v>5318388</v>
      </c>
      <c r="D2315">
        <v>13283</v>
      </c>
    </row>
    <row r="2316" spans="1:4" x14ac:dyDescent="0.25">
      <c r="A2316" t="str">
        <f>T("   721720")</f>
        <v xml:space="preserve">   721720</v>
      </c>
      <c r="B2316" t="str">
        <f>T("   FILS EN FER OU EN ACIERS NON-ALLIÉS, ENROULÉS, ZINGUÉS (À L'EXCL. DU FIL MACHINE)")</f>
        <v xml:space="preserve">   FILS EN FER OU EN ACIERS NON-ALLIÉS, ENROULÉS, ZINGUÉS (À L'EXCL. DU FIL MACHINE)</v>
      </c>
      <c r="C2316">
        <v>49197</v>
      </c>
      <c r="D2316">
        <v>10</v>
      </c>
    </row>
    <row r="2317" spans="1:4" x14ac:dyDescent="0.25">
      <c r="A2317" t="str">
        <f>T("   721790")</f>
        <v xml:space="preserve">   721790</v>
      </c>
      <c r="B2317" t="str">
        <f>T("   FILS EN FER OU EN ACIERS NON-ALLIÉS, ENROULÉS, REVÊTUS (À L'EXCL. DU FIL MACHINE AINSI QUE DES FILS REVÊTUS DE MÉTAUX COMMUNS)")</f>
        <v xml:space="preserve">   FILS EN FER OU EN ACIERS NON-ALLIÉS, ENROULÉS, REVÊTUS (À L'EXCL. DU FIL MACHINE AINSI QUE DES FILS REVÊTUS DE MÉTAUX COMMUNS)</v>
      </c>
      <c r="C2317">
        <v>7785000</v>
      </c>
      <c r="D2317">
        <v>44150</v>
      </c>
    </row>
    <row r="2318" spans="1:4" x14ac:dyDescent="0.25">
      <c r="A2318" t="str">
        <f>T("   722300")</f>
        <v xml:space="preserve">   722300</v>
      </c>
      <c r="B2318" t="str">
        <f>T("   Fils en aciers inoxydables, en couronnes ou rouleaux (autres que fil machine)")</f>
        <v xml:space="preserve">   Fils en aciers inoxydables, en couronnes ou rouleaux (autres que fil machine)</v>
      </c>
      <c r="C2318">
        <v>585068</v>
      </c>
      <c r="D2318">
        <v>400</v>
      </c>
    </row>
    <row r="2319" spans="1:4" x14ac:dyDescent="0.25">
      <c r="A2319" t="str">
        <f>T("   722990")</f>
        <v xml:space="preserve">   722990</v>
      </c>
      <c r="B2319" t="str">
        <f>T("   FILS EN ACIERS ALLIÉS AUTRES QU'ACIERS INOXYDABLES, EN COURONNES OU EN ROULEAUX (SAUF FIL MACHINE ET FIL EN ACIERS SILICOMANGANEUX)")</f>
        <v xml:space="preserve">   FILS EN ACIERS ALLIÉS AUTRES QU'ACIERS INOXYDABLES, EN COURONNES OU EN ROULEAUX (SAUF FIL MACHINE ET FIL EN ACIERS SILICOMANGANEUX)</v>
      </c>
      <c r="C2319">
        <v>7238745</v>
      </c>
      <c r="D2319">
        <v>18815</v>
      </c>
    </row>
    <row r="2320" spans="1:4" x14ac:dyDescent="0.25">
      <c r="A2320" t="str">
        <f>T("   730110")</f>
        <v xml:space="preserve">   730110</v>
      </c>
      <c r="B2320" t="str">
        <f>T("   PALPLANCHES EN FER OU EN ACIER, MÊME PERCÉES OU FAITES D'ÉLÉMENTS ASSEMBLÉS")</f>
        <v xml:space="preserve">   PALPLANCHES EN FER OU EN ACIER, MÊME PERCÉES OU FAITES D'ÉLÉMENTS ASSEMBLÉS</v>
      </c>
      <c r="C2320">
        <v>1379280</v>
      </c>
      <c r="D2320">
        <v>870</v>
      </c>
    </row>
    <row r="2321" spans="1:4" x14ac:dyDescent="0.25">
      <c r="A2321" t="str">
        <f>T("   730290")</f>
        <v xml:space="preserve">   730290</v>
      </c>
      <c r="B2321" t="s">
        <v>348</v>
      </c>
      <c r="C2321">
        <v>122351806</v>
      </c>
      <c r="D2321">
        <v>535280</v>
      </c>
    </row>
    <row r="2322" spans="1:4" x14ac:dyDescent="0.25">
      <c r="A2322" t="str">
        <f>T("   730300")</f>
        <v xml:space="preserve">   730300</v>
      </c>
      <c r="B2322" t="str">
        <f>T("   Tubes, tuyaux et profilés creux, en fonte")</f>
        <v xml:space="preserve">   Tubes, tuyaux et profilés creux, en fonte</v>
      </c>
      <c r="C2322">
        <v>58351210</v>
      </c>
      <c r="D2322">
        <v>189865</v>
      </c>
    </row>
    <row r="2323" spans="1:4" x14ac:dyDescent="0.25">
      <c r="A2323" t="str">
        <f>T("   730431")</f>
        <v xml:space="preserve">   730431</v>
      </c>
      <c r="B2323" t="s">
        <v>349</v>
      </c>
      <c r="C2323">
        <v>11000000</v>
      </c>
      <c r="D2323">
        <v>92770</v>
      </c>
    </row>
    <row r="2324" spans="1:4" x14ac:dyDescent="0.25">
      <c r="A2324" t="str">
        <f>T("   730451")</f>
        <v xml:space="preserve">   730451</v>
      </c>
      <c r="B2324" t="str">
        <f>T("   Tubes, tuyaux et profilés creux, sans soudure, de section circulaire, en aciers alliés autres qu'inoxydables, étirés ou laminés à froid (autres que tubes des types utilisés pour les oléoducs ou les gazoducs ou pour l'extraction du pétrole ou du gaz)")</f>
        <v xml:space="preserve">   Tubes, tuyaux et profilés creux, sans soudure, de section circulaire, en aciers alliés autres qu'inoxydables, étirés ou laminés à froid (autres que tubes des types utilisés pour les oléoducs ou les gazoducs ou pour l'extraction du pétrole ou du gaz)</v>
      </c>
      <c r="C2324">
        <v>12000000</v>
      </c>
      <c r="D2324">
        <v>92540</v>
      </c>
    </row>
    <row r="2325" spans="1:4" x14ac:dyDescent="0.25">
      <c r="A2325" t="str">
        <f>T("   730490")</f>
        <v xml:space="preserve">   730490</v>
      </c>
      <c r="B2325" t="str">
        <f>T("   Tubes, tuyaux et profilés creux, sans soudure, de section autre que circulaire, en fer (à l'excl. de la fonte) ou en acier")</f>
        <v xml:space="preserve">   Tubes, tuyaux et profilés creux, sans soudure, de section autre que circulaire, en fer (à l'excl. de la fonte) ou en acier</v>
      </c>
      <c r="C2325">
        <v>17197580</v>
      </c>
      <c r="D2325">
        <v>132285</v>
      </c>
    </row>
    <row r="2326" spans="1:4" x14ac:dyDescent="0.25">
      <c r="A2326" t="str">
        <f>T("   730531")</f>
        <v xml:space="preserve">   730531</v>
      </c>
      <c r="B2326" t="str">
        <f>T("   Tubes et tuyaux, de section circulaire, d'un diamètre extérieur &gt; 406,4 mm, en fer ou en acier, soudés longitudinalement (sauf tubes et tuyaux des types utilisés pour les oléoducs ou gazoducs ou pour l'extraction de pétrole ou de gaz)")</f>
        <v xml:space="preserve">   Tubes et tuyaux, de section circulaire, d'un diamètre extérieur &gt; 406,4 mm, en fer ou en acier, soudés longitudinalement (sauf tubes et tuyaux des types utilisés pour les oléoducs ou gazoducs ou pour l'extraction de pétrole ou de gaz)</v>
      </c>
      <c r="C2326">
        <v>3950000</v>
      </c>
      <c r="D2326">
        <v>17976</v>
      </c>
    </row>
    <row r="2327" spans="1:4" x14ac:dyDescent="0.25">
      <c r="A2327" t="str">
        <f>T("   730539")</f>
        <v xml:space="preserve">   730539</v>
      </c>
      <c r="B2327" t="str">
        <f>T("   Tubes et tuyaux, de section circulaires, d'un diamètre extérieur &gt; 406,4 mm, en fer ou en acier, soudés (sauf soudés longitudinalement et sauf tubes des types utilisés pour les oléoducs et gazoducs ou pour l'extraction de pétrole ou de gaz)")</f>
        <v xml:space="preserve">   Tubes et tuyaux, de section circulaires, d'un diamètre extérieur &gt; 406,4 mm, en fer ou en acier, soudés (sauf soudés longitudinalement et sauf tubes des types utilisés pour les oléoducs et gazoducs ou pour l'extraction de pétrole ou de gaz)</v>
      </c>
      <c r="C2327">
        <v>296004</v>
      </c>
      <c r="D2327">
        <v>2360</v>
      </c>
    </row>
    <row r="2328" spans="1:4" x14ac:dyDescent="0.25">
      <c r="A2328" t="str">
        <f>T("   730610")</f>
        <v xml:space="preserve">   730610</v>
      </c>
      <c r="B2328" t="str">
        <f>T("   Tubes et tuyaux des types utilisés pour oléoducs ou gazoducs, en produits laminés plats en fer ou en acier, d'un diamètre extérieur &lt;= 406,4 mm")</f>
        <v xml:space="preserve">   Tubes et tuyaux des types utilisés pour oléoducs ou gazoducs, en produits laminés plats en fer ou en acier, d'un diamètre extérieur &lt;= 406,4 mm</v>
      </c>
      <c r="C2328">
        <v>5375000</v>
      </c>
      <c r="D2328">
        <v>18000</v>
      </c>
    </row>
    <row r="2329" spans="1:4" x14ac:dyDescent="0.25">
      <c r="A2329" t="str">
        <f>T("   730630")</f>
        <v xml:space="preserve">   730630</v>
      </c>
      <c r="B2329" t="s">
        <v>351</v>
      </c>
      <c r="C2329">
        <v>15686628</v>
      </c>
      <c r="D2329">
        <v>42168</v>
      </c>
    </row>
    <row r="2330" spans="1:4" x14ac:dyDescent="0.25">
      <c r="A2330" t="str">
        <f>T("   730650")</f>
        <v xml:space="preserve">   730650</v>
      </c>
      <c r="B2330" t="s">
        <v>353</v>
      </c>
      <c r="C2330">
        <v>78361262</v>
      </c>
      <c r="D2330">
        <v>23751</v>
      </c>
    </row>
    <row r="2331" spans="1:4" x14ac:dyDescent="0.25">
      <c r="A2331" t="str">
        <f>T("   730660")</f>
        <v xml:space="preserve">   730660</v>
      </c>
      <c r="B2331" t="s">
        <v>354</v>
      </c>
      <c r="C2331">
        <v>105177485</v>
      </c>
      <c r="D2331">
        <v>356542</v>
      </c>
    </row>
    <row r="2332" spans="1:4" x14ac:dyDescent="0.25">
      <c r="A2332" t="str">
        <f>T("   730690")</f>
        <v xml:space="preserve">   730690</v>
      </c>
      <c r="B2332" t="str">
        <f>T("   Tubes, tuyaux et profilés creux [p.ex. rivés, agrafés ou à bords simplement rapprochés], en fer ou en acier (sauf tubes sans soudure ou soudés et tubes de sections intérieure et extérieure circulaires et d'un diamètre extérieur &gt; 406,4 mm)")</f>
        <v xml:space="preserve">   Tubes, tuyaux et profilés creux [p.ex. rivés, agrafés ou à bords simplement rapprochés], en fer ou en acier (sauf tubes sans soudure ou soudés et tubes de sections intérieure et extérieure circulaires et d'un diamètre extérieur &gt; 406,4 mm)</v>
      </c>
      <c r="C2332">
        <v>25989348</v>
      </c>
      <c r="D2332">
        <v>137731</v>
      </c>
    </row>
    <row r="2333" spans="1:4" x14ac:dyDescent="0.25">
      <c r="A2333" t="str">
        <f>T("   730719")</f>
        <v xml:space="preserve">   730719</v>
      </c>
      <c r="B2333" t="str">
        <f>T("   Accessoires de tuyauterie moulés en fonte, fer ou acier (sauf fonte non-malléable)")</f>
        <v xml:space="preserve">   Accessoires de tuyauterie moulés en fonte, fer ou acier (sauf fonte non-malléable)</v>
      </c>
      <c r="C2333">
        <v>18330</v>
      </c>
      <c r="D2333">
        <v>10</v>
      </c>
    </row>
    <row r="2334" spans="1:4" x14ac:dyDescent="0.25">
      <c r="A2334" t="str">
        <f>T("   730722")</f>
        <v xml:space="preserve">   730722</v>
      </c>
      <c r="B2334" t="str">
        <f>T("   COUDES, COURBES ET MANCHONS EN ACIERS INOXYDABLES, FILETÉS (NON-MOULÉS)")</f>
        <v xml:space="preserve">   COUDES, COURBES ET MANCHONS EN ACIERS INOXYDABLES, FILETÉS (NON-MOULÉS)</v>
      </c>
      <c r="C2334">
        <v>196534</v>
      </c>
      <c r="D2334">
        <v>550</v>
      </c>
    </row>
    <row r="2335" spans="1:4" x14ac:dyDescent="0.25">
      <c r="A2335" t="str">
        <f>T("   730792")</f>
        <v xml:space="preserve">   730792</v>
      </c>
      <c r="B2335" t="str">
        <f>T("   Coudes, courbes et manchons en fer ou en aciers, filetés (autres que moulés ou en aciers inoxydables)")</f>
        <v xml:space="preserve">   Coudes, courbes et manchons en fer ou en aciers, filetés (autres que moulés ou en aciers inoxydables)</v>
      </c>
      <c r="C2335">
        <v>22789783</v>
      </c>
      <c r="D2335">
        <v>14319</v>
      </c>
    </row>
    <row r="2336" spans="1:4" x14ac:dyDescent="0.25">
      <c r="A2336" t="str">
        <f>T("   730799")</f>
        <v xml:space="preserve">   730799</v>
      </c>
      <c r="B2336" t="str">
        <f>T("   Accessoires de tuyauterie, en fer ou aciers (autres que moulés ou en aciers inoxydables; sauf brides; coudes, courbes et manchons, filetés et sauf accessoires à souder bout à bout)")</f>
        <v xml:space="preserve">   Accessoires de tuyauterie, en fer ou aciers (autres que moulés ou en aciers inoxydables; sauf brides; coudes, courbes et manchons, filetés et sauf accessoires à souder bout à bout)</v>
      </c>
      <c r="C2336">
        <v>99775904</v>
      </c>
      <c r="D2336">
        <v>23342</v>
      </c>
    </row>
    <row r="2337" spans="1:4" x14ac:dyDescent="0.25">
      <c r="A2337" t="str">
        <f>T("   730820")</f>
        <v xml:space="preserve">   730820</v>
      </c>
      <c r="B2337" t="str">
        <f>T("   Tours et pylônes, en fer ou en acier")</f>
        <v xml:space="preserve">   Tours et pylônes, en fer ou en acier</v>
      </c>
      <c r="C2337">
        <v>431149261</v>
      </c>
      <c r="D2337">
        <v>373822</v>
      </c>
    </row>
    <row r="2338" spans="1:4" x14ac:dyDescent="0.25">
      <c r="A2338" t="str">
        <f>T("   730830")</f>
        <v xml:space="preserve">   730830</v>
      </c>
      <c r="B2338" t="str">
        <f>T("   Portes, fenêtres et leurs cadres et chambranles ainsi que leurs seuils, en fer ou en acier")</f>
        <v xml:space="preserve">   Portes, fenêtres et leurs cadres et chambranles ainsi que leurs seuils, en fer ou en acier</v>
      </c>
      <c r="C2338">
        <v>35362456</v>
      </c>
      <c r="D2338">
        <v>85250</v>
      </c>
    </row>
    <row r="2339" spans="1:4" x14ac:dyDescent="0.25">
      <c r="A2339" t="str">
        <f>T("   730840")</f>
        <v xml:space="preserve">   730840</v>
      </c>
      <c r="B2339" t="str">
        <f>T("   Matériel d'échafaudage, de coffrage ou d'étayage, en fer ou en acier (autre que palplanches assemblées et coffrages pour béton, qui présentent les caractéristiques de moules)")</f>
        <v xml:space="preserve">   Matériel d'échafaudage, de coffrage ou d'étayage, en fer ou en acier (autre que palplanches assemblées et coffrages pour béton, qui présentent les caractéristiques de moules)</v>
      </c>
      <c r="C2339">
        <v>104687535</v>
      </c>
      <c r="D2339">
        <v>173596</v>
      </c>
    </row>
    <row r="2340" spans="1:4" x14ac:dyDescent="0.25">
      <c r="A2340" t="str">
        <f>T("   730890")</f>
        <v xml:space="preserve">   730890</v>
      </c>
      <c r="B2340" t="s">
        <v>355</v>
      </c>
      <c r="C2340">
        <v>72708526</v>
      </c>
      <c r="D2340">
        <v>121020</v>
      </c>
    </row>
    <row r="2341" spans="1:4" x14ac:dyDescent="0.25">
      <c r="A2341" t="str">
        <f>T("   730900")</f>
        <v xml:space="preserve">   730900</v>
      </c>
      <c r="B2341" t="s">
        <v>356</v>
      </c>
      <c r="C2341">
        <v>1541558590</v>
      </c>
      <c r="D2341">
        <v>1284022</v>
      </c>
    </row>
    <row r="2342" spans="1:4" x14ac:dyDescent="0.25">
      <c r="A2342" t="str">
        <f>T("   731010")</f>
        <v xml:space="preserve">   731010</v>
      </c>
      <c r="B2342" t="str">
        <f>T("   RÉSERVOIRS, F¹TS, TAMBOURS, BIDONS, BOÎTES ET RÉCIPIENTS SIMIL. EN FONTE, FER OU ACIER, POUR TOUTES MATIÈRES, CONTENANCE &gt;= 50 L MAIS &lt;= 300 L, N.D.A. (À L'EXCL. DES GAZ COMPRIMÉS OU LIQUÉFIÉS ET SAUF AVEC DISPOSITIFS MÉCANIQUES OU THERMIQUES)")</f>
        <v xml:space="preserve">   RÉSERVOIRS, F¹TS, TAMBOURS, BIDONS, BOÎTES ET RÉCIPIENTS SIMIL. EN FONTE, FER OU ACIER, POUR TOUTES MATIÈRES, CONTENANCE &gt;= 50 L MAIS &lt;= 300 L, N.D.A. (À L'EXCL. DES GAZ COMPRIMÉS OU LIQUÉFIÉS ET SAUF AVEC DISPOSITIFS MÉCANIQUES OU THERMIQUES)</v>
      </c>
      <c r="C2342">
        <v>3267981</v>
      </c>
      <c r="D2342">
        <v>9160</v>
      </c>
    </row>
    <row r="2343" spans="1:4" x14ac:dyDescent="0.25">
      <c r="A2343" t="str">
        <f>T("   731029")</f>
        <v xml:space="preserve">   731029</v>
      </c>
      <c r="B2343" t="str">
        <f>T("   Réservoirs, fûts, tambours, bidons et récipients simil., en fer ou en acier, pour toutes matières, contenance &lt; 50 l, n.d.a. (sauf pour gaz comprimés ou liquéfiés, sans dispositifs mécaniques ou thermiques et à l'excl. des boîtes)")</f>
        <v xml:space="preserve">   Réservoirs, fûts, tambours, bidons et récipients simil., en fer ou en acier, pour toutes matières, contenance &lt; 50 l, n.d.a. (sauf pour gaz comprimés ou liquéfiés, sans dispositifs mécaniques ou thermiques et à l'excl. des boîtes)</v>
      </c>
      <c r="C2343">
        <v>36000</v>
      </c>
      <c r="D2343">
        <v>480</v>
      </c>
    </row>
    <row r="2344" spans="1:4" x14ac:dyDescent="0.25">
      <c r="A2344" t="str">
        <f>T("   731420")</f>
        <v xml:space="preserve">   731420</v>
      </c>
      <c r="B2344" t="str">
        <f>T("   Grillages et treillis, soudés aux points de rencontre, d'une surface de mailles &gt;= 100 cm², en fils de fer ou d'acier, dont la plus grande dimension de la coupe transversale est &gt;= 3 mm")</f>
        <v xml:space="preserve">   Grillages et treillis, soudés aux points de rencontre, d'une surface de mailles &gt;= 100 cm², en fils de fer ou d'acier, dont la plus grande dimension de la coupe transversale est &gt;= 3 mm</v>
      </c>
      <c r="C2344">
        <v>2780400</v>
      </c>
      <c r="D2344">
        <v>21730</v>
      </c>
    </row>
    <row r="2345" spans="1:4" x14ac:dyDescent="0.25">
      <c r="A2345" t="str">
        <f>T("   731439")</f>
        <v xml:space="preserve">   731439</v>
      </c>
      <c r="B2345" t="str">
        <f>T("   Grillages et treillis, en fils de fer ou d'acier, soudés aux points de rencontre (sauf en fils dont la plus grande dimension de la coupe transversale est &gt;= 3 mm avec une surface de mailles &gt;= 100 cm² et autres que zingués)")</f>
        <v xml:space="preserve">   Grillages et treillis, en fils de fer ou d'acier, soudés aux points de rencontre (sauf en fils dont la plus grande dimension de la coupe transversale est &gt;= 3 mm avec une surface de mailles &gt;= 100 cm² et autres que zingués)</v>
      </c>
      <c r="C2345">
        <v>410323</v>
      </c>
      <c r="D2345">
        <v>4815</v>
      </c>
    </row>
    <row r="2346" spans="1:4" x14ac:dyDescent="0.25">
      <c r="A2346" t="str">
        <f>T("   731449")</f>
        <v xml:space="preserve">   731449</v>
      </c>
      <c r="B2346" t="str">
        <f>T("   Toiles métalliques nontissées, grillages et treillis, en fils de fer ou d'acier, non soudés aux points de rencontre (sauf zingués ou recouverts de matières plastiques)")</f>
        <v xml:space="preserve">   Toiles métalliques nontissées, grillages et treillis, en fils de fer ou d'acier, non soudés aux points de rencontre (sauf zingués ou recouverts de matières plastiques)</v>
      </c>
      <c r="C2346">
        <v>6182645</v>
      </c>
      <c r="D2346">
        <v>25996</v>
      </c>
    </row>
    <row r="2347" spans="1:4" x14ac:dyDescent="0.25">
      <c r="A2347" t="str">
        <f>T("   731511")</f>
        <v xml:space="preserve">   731511</v>
      </c>
      <c r="B2347" t="str">
        <f>T("   Chaînes à rouleaux en fonte, fer ou acier")</f>
        <v xml:space="preserve">   Chaînes à rouleaux en fonte, fer ou acier</v>
      </c>
      <c r="C2347">
        <v>101224</v>
      </c>
      <c r="D2347">
        <v>300</v>
      </c>
    </row>
    <row r="2348" spans="1:4" x14ac:dyDescent="0.25">
      <c r="A2348" t="str">
        <f>T("   731700")</f>
        <v xml:space="preserve">   731700</v>
      </c>
      <c r="B2348" t="str">
        <f>T("   Pointes, clous, punaises, crampons appointés, agrafes ondulées ou biseautées et articles simil., en fonte, fer ou acier, même avec tête en autre matière (à l'excl. de ceux avec tête en cuivre et à l'excl. des agrafes en barrettes)")</f>
        <v xml:space="preserve">   Pointes, clous, punaises, crampons appointés, agrafes ondulées ou biseautées et articles simil., en fonte, fer ou acier, même avec tête en autre matière (à l'excl. de ceux avec tête en cuivre et à l'excl. des agrafes en barrettes)</v>
      </c>
      <c r="C2348">
        <v>111817603</v>
      </c>
      <c r="D2348">
        <v>729978</v>
      </c>
    </row>
    <row r="2349" spans="1:4" x14ac:dyDescent="0.25">
      <c r="A2349" t="str">
        <f>T("   731812")</f>
        <v xml:space="preserve">   731812</v>
      </c>
      <c r="B2349" t="str">
        <f>T("   Vis à bois en fonte, fer ou acier (autres que tire-fond)")</f>
        <v xml:space="preserve">   Vis à bois en fonte, fer ou acier (autres que tire-fond)</v>
      </c>
      <c r="C2349">
        <v>69068</v>
      </c>
      <c r="D2349">
        <v>1100</v>
      </c>
    </row>
    <row r="2350" spans="1:4" x14ac:dyDescent="0.25">
      <c r="A2350" t="str">
        <f>T("   731813")</f>
        <v xml:space="preserve">   731813</v>
      </c>
      <c r="B2350" t="str">
        <f>T("   Crochets et pitons à pas de vis en fonte, fer ou acier")</f>
        <v xml:space="preserve">   Crochets et pitons à pas de vis en fonte, fer ou acier</v>
      </c>
      <c r="C2350">
        <v>226522</v>
      </c>
      <c r="D2350">
        <v>1526</v>
      </c>
    </row>
    <row r="2351" spans="1:4" x14ac:dyDescent="0.25">
      <c r="A2351" t="str">
        <f>T("   731814")</f>
        <v xml:space="preserve">   731814</v>
      </c>
      <c r="B2351" t="str">
        <f>T("   Vis autotaraudeuses en fonte, fer ou acier (autres que vis à bois)")</f>
        <v xml:space="preserve">   Vis autotaraudeuses en fonte, fer ou acier (autres que vis à bois)</v>
      </c>
      <c r="C2351">
        <v>225822</v>
      </c>
      <c r="D2351">
        <v>66</v>
      </c>
    </row>
    <row r="2352" spans="1:4" x14ac:dyDescent="0.25">
      <c r="A2352" t="str">
        <f>T("   731815")</f>
        <v xml:space="preserve">   731815</v>
      </c>
      <c r="B2352" t="s">
        <v>359</v>
      </c>
      <c r="C2352">
        <v>26779086</v>
      </c>
      <c r="D2352">
        <v>110955</v>
      </c>
    </row>
    <row r="2353" spans="1:4" x14ac:dyDescent="0.25">
      <c r="A2353" t="str">
        <f>T("   731819")</f>
        <v xml:space="preserve">   731819</v>
      </c>
      <c r="B2353" t="str">
        <f>T("   Articles de boulonnerie et de visserie, filetés, en fonte, fer ou acier, n.d.a.")</f>
        <v xml:space="preserve">   Articles de boulonnerie et de visserie, filetés, en fonte, fer ou acier, n.d.a.</v>
      </c>
      <c r="C2353">
        <v>1189416</v>
      </c>
      <c r="D2353">
        <v>5709</v>
      </c>
    </row>
    <row r="2354" spans="1:4" x14ac:dyDescent="0.25">
      <c r="A2354" t="str">
        <f>T("   731823")</f>
        <v xml:space="preserve">   731823</v>
      </c>
      <c r="B2354" t="str">
        <f>T("   Rivets en fonte, fer ou acier (autres que rivets tubulaires ou rivets à deux pièces tubulaires destinés à des usages divers)")</f>
        <v xml:space="preserve">   Rivets en fonte, fer ou acier (autres que rivets tubulaires ou rivets à deux pièces tubulaires destinés à des usages divers)</v>
      </c>
      <c r="C2354">
        <v>1975000</v>
      </c>
      <c r="D2354">
        <v>13720</v>
      </c>
    </row>
    <row r="2355" spans="1:4" x14ac:dyDescent="0.25">
      <c r="A2355" t="str">
        <f>T("   731829")</f>
        <v xml:space="preserve">   731829</v>
      </c>
      <c r="B2355" t="str">
        <f>T("   Articles de boulonnerie et de visserie non filetés, en fonte, fer ou acier, n.d.a.")</f>
        <v xml:space="preserve">   Articles de boulonnerie et de visserie non filetés, en fonte, fer ou acier, n.d.a.</v>
      </c>
      <c r="C2355">
        <v>516165</v>
      </c>
      <c r="D2355">
        <v>12200</v>
      </c>
    </row>
    <row r="2356" spans="1:4" x14ac:dyDescent="0.25">
      <c r="A2356" t="str">
        <f>T("   731930")</f>
        <v xml:space="preserve">   731930</v>
      </c>
      <c r="B2356" t="str">
        <f>T("   Autres épingles en fer ou en acier, n.d.a.")</f>
        <v xml:space="preserve">   Autres épingles en fer ou en acier, n.d.a.</v>
      </c>
      <c r="C2356">
        <v>234282</v>
      </c>
      <c r="D2356">
        <v>882</v>
      </c>
    </row>
    <row r="2357" spans="1:4" x14ac:dyDescent="0.25">
      <c r="A2357" t="str">
        <f>T("   731990")</f>
        <v xml:space="preserve">   731990</v>
      </c>
      <c r="B2357" t="str">
        <f>T("   AIGUILLES À TRICOTER, PASSE-LACETS, CROCHETS, POINÇONS À BRODER ET ARTICLES SIMIL., POUR USAGE À LA MAIN, EN FER OU EN ACIER")</f>
        <v xml:space="preserve">   AIGUILLES À TRICOTER, PASSE-LACETS, CROCHETS, POINÇONS À BRODER ET ARTICLES SIMIL., POUR USAGE À LA MAIN, EN FER OU EN ACIER</v>
      </c>
      <c r="C2357">
        <v>1559192</v>
      </c>
      <c r="D2357">
        <v>9107</v>
      </c>
    </row>
    <row r="2358" spans="1:4" x14ac:dyDescent="0.25">
      <c r="A2358" t="str">
        <f>T("   732020")</f>
        <v xml:space="preserve">   732020</v>
      </c>
      <c r="B2358" t="str">
        <f>T("   RESSORTS EN HÉLICE EN FER OU EN ACIER (À L'EXCL. DES RESSORTS SPIRAUX PLATS, RESSORTS DE MONTRES, RESSORTS POUR CANNES ET MANCHES DE PARAPLUIES ET DE PARASOLS ET SAUF RESSORTS-AMORTISSEURS DE LA SECTION 17)")</f>
        <v xml:space="preserve">   RESSORTS EN HÉLICE EN FER OU EN ACIER (À L'EXCL. DES RESSORTS SPIRAUX PLATS, RESSORTS DE MONTRES, RESSORTS POUR CANNES ET MANCHES DE PARAPLUIES ET DE PARASOLS ET SAUF RESSORTS-AMORTISSEURS DE LA SECTION 17)</v>
      </c>
      <c r="C2358">
        <v>3122045</v>
      </c>
      <c r="D2358">
        <v>3326</v>
      </c>
    </row>
    <row r="2359" spans="1:4" x14ac:dyDescent="0.25">
      <c r="A2359" t="str">
        <f>T("   732111")</f>
        <v xml:space="preserve">   732111</v>
      </c>
      <c r="B2359" t="s">
        <v>361</v>
      </c>
      <c r="C2359">
        <v>31597470</v>
      </c>
      <c r="D2359">
        <v>39964</v>
      </c>
    </row>
    <row r="2360" spans="1:4" x14ac:dyDescent="0.25">
      <c r="A2360" t="str">
        <f>T("   732112")</f>
        <v xml:space="preserve">   732112</v>
      </c>
      <c r="B2360" t="s">
        <v>362</v>
      </c>
      <c r="C2360">
        <v>1017992</v>
      </c>
      <c r="D2360">
        <v>2113</v>
      </c>
    </row>
    <row r="2361" spans="1:4" x14ac:dyDescent="0.25">
      <c r="A2361" t="str">
        <f>T("   732113")</f>
        <v xml:space="preserve">   732113</v>
      </c>
      <c r="B2361" t="str">
        <f>T("   Appareils de cuisson tels que foyers de cuisson, barbecues, grilloirs, réchauds et cuisinières, et chauffe-plats, à usage domestique, en fonte, fer ou acier, à combustibles solides (à l'excl. des appareils destinés à la cuisine à grande échelle)")</f>
        <v xml:space="preserve">   Appareils de cuisson tels que foyers de cuisson, barbecues, grilloirs, réchauds et cuisinières, et chauffe-plats, à usage domestique, en fonte, fer ou acier, à combustibles solides (à l'excl. des appareils destinés à la cuisine à grande échelle)</v>
      </c>
      <c r="C2361">
        <v>95870</v>
      </c>
      <c r="D2361">
        <v>150</v>
      </c>
    </row>
    <row r="2362" spans="1:4" x14ac:dyDescent="0.25">
      <c r="A2362" t="str">
        <f>T("   732181")</f>
        <v xml:space="preserve">   732181</v>
      </c>
      <c r="B2362" t="s">
        <v>363</v>
      </c>
      <c r="C2362">
        <v>1190000</v>
      </c>
      <c r="D2362">
        <v>4638</v>
      </c>
    </row>
    <row r="2363" spans="1:4" x14ac:dyDescent="0.25">
      <c r="A2363" t="str">
        <f>T("   732190")</f>
        <v xml:space="preserve">   732190</v>
      </c>
      <c r="B2363" t="str">
        <f>T("   Parties des appareils ménagers chauffants non-électriques du n° 7321, n.d.a.")</f>
        <v xml:space="preserve">   Parties des appareils ménagers chauffants non-électriques du n° 7321, n.d.a.</v>
      </c>
      <c r="C2363">
        <v>59602</v>
      </c>
      <c r="D2363">
        <v>4.05</v>
      </c>
    </row>
    <row r="2364" spans="1:4" x14ac:dyDescent="0.25">
      <c r="A2364" t="str">
        <f>T("   732219")</f>
        <v xml:space="preserve">   732219</v>
      </c>
      <c r="B2364" t="str">
        <f>T("   Radiateurs pour le chauffage central, à chauffage non électrique et leurs parties, en fer ou acier (à l'excl. de la fonte et sauf les parties désignées ou comprises en d'autres endroits et les chaudières de chauffage central)")</f>
        <v xml:space="preserve">   Radiateurs pour le chauffage central, à chauffage non électrique et leurs parties, en fer ou acier (à l'excl. de la fonte et sauf les parties désignées ou comprises en d'autres endroits et les chaudières de chauffage central)</v>
      </c>
      <c r="C2364">
        <v>1221385</v>
      </c>
      <c r="D2364">
        <v>1200</v>
      </c>
    </row>
    <row r="2365" spans="1:4" x14ac:dyDescent="0.25">
      <c r="A2365" t="str">
        <f>T("   732310")</f>
        <v xml:space="preserve">   732310</v>
      </c>
      <c r="B2365" t="str">
        <f>T("   Paille de fer ou d'acier; éponges, torchons, gants et articles simil. pour le récurage, le polissage ou usages analogues, en fer ou acier")</f>
        <v xml:space="preserve">   Paille de fer ou d'acier; éponges, torchons, gants et articles simil. pour le récurage, le polissage ou usages analogues, en fer ou acier</v>
      </c>
      <c r="C2365">
        <v>13324939</v>
      </c>
      <c r="D2365">
        <v>94280</v>
      </c>
    </row>
    <row r="2366" spans="1:4" x14ac:dyDescent="0.25">
      <c r="A2366" t="str">
        <f>T("   732391")</f>
        <v xml:space="preserve">   732391</v>
      </c>
      <c r="B2366" t="s">
        <v>364</v>
      </c>
      <c r="C2366">
        <v>471225</v>
      </c>
      <c r="D2366">
        <v>3026</v>
      </c>
    </row>
    <row r="2367" spans="1:4" x14ac:dyDescent="0.25">
      <c r="A2367" t="str">
        <f>T("   732392")</f>
        <v xml:space="preserve">   732392</v>
      </c>
      <c r="B2367" t="s">
        <v>365</v>
      </c>
      <c r="C2367">
        <v>28499103</v>
      </c>
      <c r="D2367">
        <v>147340</v>
      </c>
    </row>
    <row r="2368" spans="1:4" x14ac:dyDescent="0.25">
      <c r="A2368" t="str">
        <f>T("   732393")</f>
        <v xml:space="preserve">   732393</v>
      </c>
      <c r="B2368" t="s">
        <v>366</v>
      </c>
      <c r="C2368">
        <v>8187208</v>
      </c>
      <c r="D2368">
        <v>30194</v>
      </c>
    </row>
    <row r="2369" spans="1:4" x14ac:dyDescent="0.25">
      <c r="A2369" t="str">
        <f>T("   732394")</f>
        <v xml:space="preserve">   732394</v>
      </c>
      <c r="B2369" t="s">
        <v>367</v>
      </c>
      <c r="C2369">
        <v>59345739</v>
      </c>
      <c r="D2369">
        <v>271559</v>
      </c>
    </row>
    <row r="2370" spans="1:4" x14ac:dyDescent="0.25">
      <c r="A2370" t="str">
        <f>T("   732399")</f>
        <v xml:space="preserve">   732399</v>
      </c>
      <c r="B2370" t="s">
        <v>368</v>
      </c>
      <c r="C2370">
        <v>80193238</v>
      </c>
      <c r="D2370">
        <v>381412</v>
      </c>
    </row>
    <row r="2371" spans="1:4" x14ac:dyDescent="0.25">
      <c r="A2371" t="str">
        <f>T("   732410")</f>
        <v xml:space="preserve">   732410</v>
      </c>
      <c r="B2371" t="str">
        <f>T("   ÉVIERS ET LAVABOS EN ACIER INOXYDABLE")</f>
        <v xml:space="preserve">   ÉVIERS ET LAVABOS EN ACIER INOXYDABLE</v>
      </c>
      <c r="C2371">
        <v>19921224</v>
      </c>
      <c r="D2371">
        <v>47238</v>
      </c>
    </row>
    <row r="2372" spans="1:4" x14ac:dyDescent="0.25">
      <c r="A2372" t="str">
        <f>T("   732429")</f>
        <v xml:space="preserve">   732429</v>
      </c>
      <c r="B2372" t="str">
        <f>T("   Baignoires en tôle d'acier")</f>
        <v xml:space="preserve">   Baignoires en tôle d'acier</v>
      </c>
      <c r="C2372">
        <v>9356802</v>
      </c>
      <c r="D2372">
        <v>37319</v>
      </c>
    </row>
    <row r="2373" spans="1:4" x14ac:dyDescent="0.25">
      <c r="A2373" t="str">
        <f>T("   732490")</f>
        <v xml:space="preserve">   732490</v>
      </c>
      <c r="B2373" t="s">
        <v>369</v>
      </c>
      <c r="C2373">
        <v>25753548</v>
      </c>
      <c r="D2373">
        <v>89901</v>
      </c>
    </row>
    <row r="2374" spans="1:4" x14ac:dyDescent="0.25">
      <c r="A2374" t="str">
        <f>T("   732510")</f>
        <v xml:space="preserve">   732510</v>
      </c>
      <c r="B2374" t="str">
        <f>T("   OUVRAGES EN FER OU EN ACIER, EN FONTE NON-MALLÉABLE, MOULÉS, N.D.A.")</f>
        <v xml:space="preserve">   OUVRAGES EN FER OU EN ACIER, EN FONTE NON-MALLÉABLE, MOULÉS, N.D.A.</v>
      </c>
      <c r="C2374">
        <v>200000</v>
      </c>
      <c r="D2374">
        <v>1000</v>
      </c>
    </row>
    <row r="2375" spans="1:4" x14ac:dyDescent="0.25">
      <c r="A2375" t="str">
        <f>T("   732599")</f>
        <v xml:space="preserve">   732599</v>
      </c>
      <c r="B2375" t="str">
        <f>T("   OUVRAGES EN FONTE, FER OU ACIER, MOULÉS, N.D.A. (À L'EXCL. DE LA FONTE NON-MALLÉABLE ET SAUF BOULETS ET ARTICLES SIMIL. POUR BROYEURS)")</f>
        <v xml:space="preserve">   OUVRAGES EN FONTE, FER OU ACIER, MOULÉS, N.D.A. (À L'EXCL. DE LA FONTE NON-MALLÉABLE ET SAUF BOULETS ET ARTICLES SIMIL. POUR BROYEURS)</v>
      </c>
      <c r="C2375">
        <v>278606</v>
      </c>
      <c r="D2375">
        <v>3308</v>
      </c>
    </row>
    <row r="2376" spans="1:4" x14ac:dyDescent="0.25">
      <c r="A2376" t="str">
        <f>T("   732619")</f>
        <v xml:space="preserve">   732619</v>
      </c>
      <c r="B2376" t="str">
        <f>T("   Ouvrages en fer ou en acier, forgés ou estampés mais non autrement travaillés, n.d.a. (sauf boulets et articles simil. pour broyeurs)")</f>
        <v xml:space="preserve">   Ouvrages en fer ou en acier, forgés ou estampés mais non autrement travaillés, n.d.a. (sauf boulets et articles simil. pour broyeurs)</v>
      </c>
      <c r="C2376">
        <v>2992447</v>
      </c>
      <c r="D2376">
        <v>7780</v>
      </c>
    </row>
    <row r="2377" spans="1:4" x14ac:dyDescent="0.25">
      <c r="A2377" t="str">
        <f>T("   732690")</f>
        <v xml:space="preserve">   732690</v>
      </c>
      <c r="B2377"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2377">
        <v>29994239</v>
      </c>
      <c r="D2377">
        <v>84450</v>
      </c>
    </row>
    <row r="2378" spans="1:4" x14ac:dyDescent="0.25">
      <c r="A2378" t="str">
        <f>T("   740819")</f>
        <v xml:space="preserve">   740819</v>
      </c>
      <c r="B2378" t="str">
        <f>T("   Fils de cuivre affiné, plus grande dimension de la section transversale &lt;= 6 mm")</f>
        <v xml:space="preserve">   Fils de cuivre affiné, plus grande dimension de la section transversale &lt;= 6 mm</v>
      </c>
      <c r="C2378">
        <v>3752448</v>
      </c>
      <c r="D2378">
        <v>12510</v>
      </c>
    </row>
    <row r="2379" spans="1:4" x14ac:dyDescent="0.25">
      <c r="A2379" t="str">
        <f>T("   741110")</f>
        <v xml:space="preserve">   741110</v>
      </c>
      <c r="B2379" t="str">
        <f>T("   Tubes et tuyaux en cuivre affiné")</f>
        <v xml:space="preserve">   Tubes et tuyaux en cuivre affiné</v>
      </c>
      <c r="C2379">
        <v>197336</v>
      </c>
      <c r="D2379">
        <v>700</v>
      </c>
    </row>
    <row r="2380" spans="1:4" x14ac:dyDescent="0.25">
      <c r="A2380" t="str">
        <f>T("   741129")</f>
        <v xml:space="preserve">   741129</v>
      </c>
      <c r="B2380" t="str">
        <f>T("   Tubes et tuyaux en alliages de cuivre (sauf en alliages à base de cuivre-zinc -laiton-, de cuivre-nickel -cupronickel-, ou de cuivre-nickel-zinc -maillechort-)")</f>
        <v xml:space="preserve">   Tubes et tuyaux en alliages de cuivre (sauf en alliages à base de cuivre-zinc -laiton-, de cuivre-nickel -cupronickel-, ou de cuivre-nickel-zinc -maillechort-)</v>
      </c>
      <c r="C2380">
        <v>1235441</v>
      </c>
      <c r="D2380">
        <v>3654</v>
      </c>
    </row>
    <row r="2381" spans="1:4" x14ac:dyDescent="0.25">
      <c r="A2381" t="str">
        <f>T("   741210")</f>
        <v xml:space="preserve">   741210</v>
      </c>
      <c r="B2381" t="str">
        <f>T("   Accessoires de tuyauterie -raccords, coudes, manchons, par exemple-, en cuivre affiné")</f>
        <v xml:space="preserve">   Accessoires de tuyauterie -raccords, coudes, manchons, par exemple-, en cuivre affiné</v>
      </c>
      <c r="C2381">
        <v>12686434</v>
      </c>
      <c r="D2381">
        <v>8583</v>
      </c>
    </row>
    <row r="2382" spans="1:4" x14ac:dyDescent="0.25">
      <c r="A2382" t="str">
        <f>T("   741220")</f>
        <v xml:space="preserve">   741220</v>
      </c>
      <c r="B2382" t="str">
        <f>T("   Accessoires de tuyauterie -raccords, coudes, manchons, par exemple-, en alliages de cuivre")</f>
        <v xml:space="preserve">   Accessoires de tuyauterie -raccords, coudes, manchons, par exemple-, en alliages de cuivre</v>
      </c>
      <c r="C2382">
        <v>35406148</v>
      </c>
      <c r="D2382">
        <v>39205</v>
      </c>
    </row>
    <row r="2383" spans="1:4" x14ac:dyDescent="0.25">
      <c r="A2383" t="str">
        <f>T("   741510")</f>
        <v xml:space="preserve">   741510</v>
      </c>
      <c r="B2383" t="str">
        <f>T("   Pointes et clous, punaises, crampons appointés, agrafes et simil., en cuivre ou avec tige en fer ou en acier et tête en cuivre (sauf agrafes présentées en barrettes)")</f>
        <v xml:space="preserve">   Pointes et clous, punaises, crampons appointés, agrafes et simil., en cuivre ou avec tige en fer ou en acier et tête en cuivre (sauf agrafes présentées en barrettes)</v>
      </c>
      <c r="C2383">
        <v>7000000</v>
      </c>
      <c r="D2383">
        <v>50940</v>
      </c>
    </row>
    <row r="2384" spans="1:4" x14ac:dyDescent="0.25">
      <c r="A2384" t="str">
        <f>T("   741533")</f>
        <v xml:space="preserve">   741533</v>
      </c>
      <c r="B2384" t="str">
        <f>T("   Vis, boulons, écrous et articles simil., filetés, en cuivre (à l'excl. des crochets et pitons à pas de vis, des tire-fond, des bouchons métalliques, bondes et articles simil., filetés)")</f>
        <v xml:space="preserve">   Vis, boulons, écrous et articles simil., filetés, en cuivre (à l'excl. des crochets et pitons à pas de vis, des tire-fond, des bouchons métalliques, bondes et articles simil., filetés)</v>
      </c>
      <c r="C2384">
        <v>1080000</v>
      </c>
      <c r="D2384">
        <v>6175</v>
      </c>
    </row>
    <row r="2385" spans="1:4" x14ac:dyDescent="0.25">
      <c r="A2385" t="str">
        <f>T("   741539")</f>
        <v xml:space="preserve">   741539</v>
      </c>
      <c r="B2385" t="str">
        <f>T("   Crochets à pas de vis, vis à oeillet, tampons et articles simil., filetés, en cuivre (sauf vis ordinaires et sauf boulons et écrous)")</f>
        <v xml:space="preserve">   Crochets à pas de vis, vis à oeillet, tampons et articles simil., filetés, en cuivre (sauf vis ordinaires et sauf boulons et écrous)</v>
      </c>
      <c r="C2385">
        <v>51194</v>
      </c>
      <c r="D2385">
        <v>1055</v>
      </c>
    </row>
    <row r="2386" spans="1:4" x14ac:dyDescent="0.25">
      <c r="A2386" t="str">
        <f>T("   741819")</f>
        <v xml:space="preserve">   741819</v>
      </c>
      <c r="B2386" t="s">
        <v>371</v>
      </c>
      <c r="C2386">
        <v>948761</v>
      </c>
      <c r="D2386">
        <v>4733</v>
      </c>
    </row>
    <row r="2387" spans="1:4" x14ac:dyDescent="0.25">
      <c r="A2387" t="str">
        <f>T("   741820")</f>
        <v xml:space="preserve">   741820</v>
      </c>
      <c r="B2387" t="str">
        <f>T("   Articles d'hygiène ou de toilette et leurs parties, en cuivre (sauf bidons, boîtes et récipients simil. du n° 7419 et sauf accessoires de tuyauterie)")</f>
        <v xml:space="preserve">   Articles d'hygiène ou de toilette et leurs parties, en cuivre (sauf bidons, boîtes et récipients simil. du n° 7419 et sauf accessoires de tuyauterie)</v>
      </c>
      <c r="C2387">
        <v>220980</v>
      </c>
      <c r="D2387">
        <v>949</v>
      </c>
    </row>
    <row r="2388" spans="1:4" x14ac:dyDescent="0.25">
      <c r="A2388" t="str">
        <f>T("   741999")</f>
        <v xml:space="preserve">   741999</v>
      </c>
      <c r="B2388" t="str">
        <f>T("   Ouvrages en cuivre, n.d.a.")</f>
        <v xml:space="preserve">   Ouvrages en cuivre, n.d.a.</v>
      </c>
      <c r="C2388">
        <v>900553</v>
      </c>
      <c r="D2388">
        <v>6164</v>
      </c>
    </row>
    <row r="2389" spans="1:4" x14ac:dyDescent="0.25">
      <c r="A2389" t="str">
        <f>T("   760120")</f>
        <v xml:space="preserve">   760120</v>
      </c>
      <c r="B2389" t="str">
        <f>T("   Alliages d'aluminium, sous forme brute")</f>
        <v xml:space="preserve">   Alliages d'aluminium, sous forme brute</v>
      </c>
      <c r="C2389">
        <v>16000000</v>
      </c>
      <c r="D2389">
        <v>20480</v>
      </c>
    </row>
    <row r="2390" spans="1:4" x14ac:dyDescent="0.25">
      <c r="A2390" t="str">
        <f>T("   760410")</f>
        <v xml:space="preserve">   760410</v>
      </c>
      <c r="B2390" t="str">
        <f>T("   BARRES ET PROFILÉS EN ALUMINIUM NON-ALLIÉ, N.D.A.")</f>
        <v xml:space="preserve">   BARRES ET PROFILÉS EN ALUMINIUM NON-ALLIÉ, N.D.A.</v>
      </c>
      <c r="C2390">
        <v>9814446</v>
      </c>
      <c r="D2390">
        <v>32410</v>
      </c>
    </row>
    <row r="2391" spans="1:4" x14ac:dyDescent="0.25">
      <c r="A2391" t="str">
        <f>T("   760421")</f>
        <v xml:space="preserve">   760421</v>
      </c>
      <c r="B2391" t="str">
        <f>T("   Profilés creux en alliages d'aluminium, n.d.a.")</f>
        <v xml:space="preserve">   Profilés creux en alliages d'aluminium, n.d.a.</v>
      </c>
      <c r="C2391">
        <v>81236046</v>
      </c>
      <c r="D2391">
        <v>100549</v>
      </c>
    </row>
    <row r="2392" spans="1:4" x14ac:dyDescent="0.25">
      <c r="A2392" t="str">
        <f>T("   760429")</f>
        <v xml:space="preserve">   760429</v>
      </c>
      <c r="B2392" t="str">
        <f>T("   Barres et profilés pleins en alliages d'aluminium, n.d.a.")</f>
        <v xml:space="preserve">   Barres et profilés pleins en alliages d'aluminium, n.d.a.</v>
      </c>
      <c r="C2392">
        <v>282499796</v>
      </c>
      <c r="D2392">
        <v>605818</v>
      </c>
    </row>
    <row r="2393" spans="1:4" x14ac:dyDescent="0.25">
      <c r="A2393" t="str">
        <f>T("   760611")</f>
        <v xml:space="preserve">   760611</v>
      </c>
      <c r="B2393" t="str">
        <f>T("   TÔLES ET BANDES EN ALUMINIUM NON-ALLIÉ, D'UNE ÉPAISSEUR &gt; 0,2 MM, DE FORME CARRÉE OU RECTANGULAIRE (SAUF TÔLES ET BANDES DÉPLOYÉES)")</f>
        <v xml:space="preserve">   TÔLES ET BANDES EN ALUMINIUM NON-ALLIÉ, D'UNE ÉPAISSEUR &gt; 0,2 MM, DE FORME CARRÉE OU RECTANGULAIRE (SAUF TÔLES ET BANDES DÉPLOYÉES)</v>
      </c>
      <c r="C2393">
        <v>87096612</v>
      </c>
      <c r="D2393">
        <v>76066</v>
      </c>
    </row>
    <row r="2394" spans="1:4" x14ac:dyDescent="0.25">
      <c r="A2394" t="str">
        <f>T("   760612")</f>
        <v xml:space="preserve">   760612</v>
      </c>
      <c r="B2394" t="str">
        <f>T("   Tôles et bandes en alliages d'aluminium, d'une épaisseur &gt; 0,2 mm, de forme carrée ou rectangulaire (sauf tôles et bandes déployées)")</f>
        <v xml:space="preserve">   Tôles et bandes en alliages d'aluminium, d'une épaisseur &gt; 0,2 mm, de forme carrée ou rectangulaire (sauf tôles et bandes déployées)</v>
      </c>
      <c r="C2394">
        <v>1199905</v>
      </c>
      <c r="D2394">
        <v>190</v>
      </c>
    </row>
    <row r="2395" spans="1:4" x14ac:dyDescent="0.25">
      <c r="A2395" t="str">
        <f>T("   760692")</f>
        <v xml:space="preserve">   760692</v>
      </c>
      <c r="B2395" t="str">
        <f>T("   Tôles et bandes en alliages d'aluminium, d'une épaisseur &gt; 0,2 mm, de forme autre que carrée ou rectangulaire")</f>
        <v xml:space="preserve">   Tôles et bandes en alliages d'aluminium, d'une épaisseur &gt; 0,2 mm, de forme autre que carrée ou rectangulaire</v>
      </c>
      <c r="C2395">
        <v>87804911</v>
      </c>
      <c r="D2395">
        <v>63721</v>
      </c>
    </row>
    <row r="2396" spans="1:4" x14ac:dyDescent="0.25">
      <c r="A2396" t="str">
        <f>T("   760810")</f>
        <v xml:space="preserve">   760810</v>
      </c>
      <c r="B2396" t="str">
        <f>T("   Tubes et tuyaux en aluminium non allié (sauf profilés creux)")</f>
        <v xml:space="preserve">   Tubes et tuyaux en aluminium non allié (sauf profilés creux)</v>
      </c>
      <c r="C2396">
        <v>500000</v>
      </c>
      <c r="D2396">
        <v>2106</v>
      </c>
    </row>
    <row r="2397" spans="1:4" x14ac:dyDescent="0.25">
      <c r="A2397" t="str">
        <f>T("   761010")</f>
        <v xml:space="preserve">   761010</v>
      </c>
      <c r="B2397" t="str">
        <f>T("   Portes, fenêtres et leurs cadres, chambranles et seuils, en aluminium (sauf pièces de garnissage)")</f>
        <v xml:space="preserve">   Portes, fenêtres et leurs cadres, chambranles et seuils, en aluminium (sauf pièces de garnissage)</v>
      </c>
      <c r="C2397">
        <v>84001861</v>
      </c>
      <c r="D2397">
        <v>179697</v>
      </c>
    </row>
    <row r="2398" spans="1:4" x14ac:dyDescent="0.25">
      <c r="A2398" t="str">
        <f>T("   761090")</f>
        <v xml:space="preserve">   761090</v>
      </c>
      <c r="B2398" t="str">
        <f>T("   Constructions et parties de constructions, en aluminium, n.d.a., ainsi que tôles, barres, profilés, tubes, tuyaux et simil., en aluminium, n.d.a; (sauf constructions préfabriquées du n° 9406, portes, fenêtres et leurs cadres, chambranles et seuils)")</f>
        <v xml:space="preserve">   Constructions et parties de constructions, en aluminium, n.d.a., ainsi que tôles, barres, profilés, tubes, tuyaux et simil., en aluminium, n.d.a; (sauf constructions préfabriquées du n° 9406, portes, fenêtres et leurs cadres, chambranles et seuils)</v>
      </c>
      <c r="C2398">
        <v>68544641</v>
      </c>
      <c r="D2398">
        <v>266762</v>
      </c>
    </row>
    <row r="2399" spans="1:4" x14ac:dyDescent="0.25">
      <c r="A2399" t="str">
        <f>T("   761519")</f>
        <v xml:space="preserve">   761519</v>
      </c>
      <c r="B2399" t="s">
        <v>373</v>
      </c>
      <c r="C2399">
        <v>32106497</v>
      </c>
      <c r="D2399">
        <v>132809</v>
      </c>
    </row>
    <row r="2400" spans="1:4" x14ac:dyDescent="0.25">
      <c r="A2400" t="str">
        <f>T("   761520")</f>
        <v xml:space="preserve">   761520</v>
      </c>
      <c r="B2400" t="str">
        <f>T("   Articles d'hygiène ou de toilette, et leurs parties, en aluminium (sauf bidons, boîtes et récipients simil. du n° 7612 et sauf accessoires de tuyauterie)")</f>
        <v xml:space="preserve">   Articles d'hygiène ou de toilette, et leurs parties, en aluminium (sauf bidons, boîtes et récipients simil. du n° 7612 et sauf accessoires de tuyauterie)</v>
      </c>
      <c r="C2400">
        <v>2641646</v>
      </c>
      <c r="D2400">
        <v>4578</v>
      </c>
    </row>
    <row r="2401" spans="1:4" x14ac:dyDescent="0.25">
      <c r="A2401" t="str">
        <f>T("   761610")</f>
        <v xml:space="preserve">   761610</v>
      </c>
      <c r="B2401" t="s">
        <v>374</v>
      </c>
      <c r="C2401">
        <v>24932406</v>
      </c>
      <c r="D2401">
        <v>164430</v>
      </c>
    </row>
    <row r="2402" spans="1:4" x14ac:dyDescent="0.25">
      <c r="A2402" t="str">
        <f>T("   761699")</f>
        <v xml:space="preserve">   761699</v>
      </c>
      <c r="B2402" t="str">
        <f>T("   Ouvrages en aluminium, n.d.a.")</f>
        <v xml:space="preserve">   Ouvrages en aluminium, n.d.a.</v>
      </c>
      <c r="C2402">
        <v>13633703</v>
      </c>
      <c r="D2402">
        <v>98374</v>
      </c>
    </row>
    <row r="2403" spans="1:4" x14ac:dyDescent="0.25">
      <c r="A2403" t="str">
        <f>T("   780110")</f>
        <v xml:space="preserve">   780110</v>
      </c>
      <c r="B2403" t="str">
        <f>T("   Plomb affiné, sous forme brute")</f>
        <v xml:space="preserve">   Plomb affiné, sous forme brute</v>
      </c>
      <c r="C2403">
        <v>310318</v>
      </c>
      <c r="D2403">
        <v>1600</v>
      </c>
    </row>
    <row r="2404" spans="1:4" x14ac:dyDescent="0.25">
      <c r="A2404" t="str">
        <f>T("   780500")</f>
        <v xml:space="preserve">   780500</v>
      </c>
      <c r="B2404" t="str">
        <f>T("   Tubes, tuyaux et accessoires de tuyauterie -raccords, coudes, manchons, par exemple- en plomb")</f>
        <v xml:space="preserve">   Tubes, tuyaux et accessoires de tuyauterie -raccords, coudes, manchons, par exemple- en plomb</v>
      </c>
      <c r="C2404">
        <v>1000000</v>
      </c>
      <c r="D2404">
        <v>4820</v>
      </c>
    </row>
    <row r="2405" spans="1:4" x14ac:dyDescent="0.25">
      <c r="A2405" t="str">
        <f>T("   820110")</f>
        <v xml:space="preserve">   820110</v>
      </c>
      <c r="B2405" t="str">
        <f>T("   Bêches et pelles, avec partie travaillante en métaux communs")</f>
        <v xml:space="preserve">   Bêches et pelles, avec partie travaillante en métaux communs</v>
      </c>
      <c r="C2405">
        <v>45025670</v>
      </c>
      <c r="D2405">
        <v>343866</v>
      </c>
    </row>
    <row r="2406" spans="1:4" x14ac:dyDescent="0.25">
      <c r="A2406" t="str">
        <f>T("   820130")</f>
        <v xml:space="preserve">   820130</v>
      </c>
      <c r="B2406" t="str">
        <f>T("   Pioches, pics, houes, binettes, râteaux et racloirs, avec partie travaillante en métaux communs (sauf piolets)")</f>
        <v xml:space="preserve">   Pioches, pics, houes, binettes, râteaux et racloirs, avec partie travaillante en métaux communs (sauf piolets)</v>
      </c>
      <c r="C2406">
        <v>8000000</v>
      </c>
      <c r="D2406">
        <v>43560</v>
      </c>
    </row>
    <row r="2407" spans="1:4" x14ac:dyDescent="0.25">
      <c r="A2407" t="str">
        <f>T("   820190")</f>
        <v xml:space="preserve">   820190</v>
      </c>
      <c r="B2407" t="s">
        <v>375</v>
      </c>
      <c r="C2407">
        <v>1500000</v>
      </c>
      <c r="D2407">
        <v>1090</v>
      </c>
    </row>
    <row r="2408" spans="1:4" x14ac:dyDescent="0.25">
      <c r="A2408" t="str">
        <f>T("   820210")</f>
        <v xml:space="preserve">   820210</v>
      </c>
      <c r="B2408" t="str">
        <f>T("   Scies à main, avec partie travaillante en métaux communs (à l'excl. des tronçonneuses)")</f>
        <v xml:space="preserve">   Scies à main, avec partie travaillante en métaux communs (à l'excl. des tronçonneuses)</v>
      </c>
      <c r="C2408">
        <v>7631021</v>
      </c>
      <c r="D2408">
        <v>18303</v>
      </c>
    </row>
    <row r="2409" spans="1:4" x14ac:dyDescent="0.25">
      <c r="A2409" t="str">
        <f>T("   820291")</f>
        <v xml:space="preserve">   820291</v>
      </c>
      <c r="B2409" t="str">
        <f>T("   LAMES DE SCIES DROITES EN METAUX COMMUNS, POUR LE TRAVAIL DES METAUX")</f>
        <v xml:space="preserve">   LAMES DE SCIES DROITES EN METAUX COMMUNS, POUR LE TRAVAIL DES METAUX</v>
      </c>
      <c r="C2409">
        <v>2428262</v>
      </c>
      <c r="D2409">
        <v>8095</v>
      </c>
    </row>
    <row r="2410" spans="1:4" x14ac:dyDescent="0.25">
      <c r="A2410" t="str">
        <f>T("   820299")</f>
        <v xml:space="preserve">   820299</v>
      </c>
      <c r="B2410" t="s">
        <v>376</v>
      </c>
      <c r="C2410">
        <v>1692397</v>
      </c>
      <c r="D2410">
        <v>2741</v>
      </c>
    </row>
    <row r="2411" spans="1:4" x14ac:dyDescent="0.25">
      <c r="A2411" t="str">
        <f>T("   820310")</f>
        <v xml:space="preserve">   820310</v>
      </c>
      <c r="B2411" t="str">
        <f>T("   Limes, râpes et outils simil. à main, en métaux communs")</f>
        <v xml:space="preserve">   Limes, râpes et outils simil. à main, en métaux communs</v>
      </c>
      <c r="C2411">
        <v>3005000</v>
      </c>
      <c r="D2411">
        <v>3816</v>
      </c>
    </row>
    <row r="2412" spans="1:4" x14ac:dyDescent="0.25">
      <c r="A2412" t="str">
        <f>T("   820320")</f>
        <v xml:space="preserve">   820320</v>
      </c>
      <c r="B2412" t="str">
        <f>T("   PINCES -MÊME COUPANTES-, TENAILLES, BRUCELLES À USAGE NON-MÉDICAL ET OUTILS SIMIL. À MAIN, EN MÉTAUX COMMUNS")</f>
        <v xml:space="preserve">   PINCES -MÊME COUPANTES-, TENAILLES, BRUCELLES À USAGE NON-MÉDICAL ET OUTILS SIMIL. À MAIN, EN MÉTAUX COMMUNS</v>
      </c>
      <c r="C2412">
        <v>1214749</v>
      </c>
      <c r="D2412">
        <v>2885</v>
      </c>
    </row>
    <row r="2413" spans="1:4" x14ac:dyDescent="0.25">
      <c r="A2413" t="str">
        <f>T("   820411")</f>
        <v xml:space="preserve">   820411</v>
      </c>
      <c r="B2413" t="str">
        <f>T("   Clés de serrage à main, y.c. -les clés dynamométriques-, en métaux communs, à ouverture fixe")</f>
        <v xml:space="preserve">   Clés de serrage à main, y.c. -les clés dynamométriques-, en métaux communs, à ouverture fixe</v>
      </c>
      <c r="C2413">
        <v>5584745</v>
      </c>
      <c r="D2413">
        <v>11526</v>
      </c>
    </row>
    <row r="2414" spans="1:4" x14ac:dyDescent="0.25">
      <c r="A2414" t="str">
        <f>T("   820412")</f>
        <v xml:space="preserve">   820412</v>
      </c>
      <c r="B2414" t="str">
        <f>T("   Clés de serrage à main, y.c. -les clés dynamométriques-, en métaux communs, à ouverture variable")</f>
        <v xml:space="preserve">   Clés de serrage à main, y.c. -les clés dynamométriques-, en métaux communs, à ouverture variable</v>
      </c>
      <c r="C2414">
        <v>657668</v>
      </c>
      <c r="D2414">
        <v>7190</v>
      </c>
    </row>
    <row r="2415" spans="1:4" x14ac:dyDescent="0.25">
      <c r="A2415" t="str">
        <f>T("   820510")</f>
        <v xml:space="preserve">   820510</v>
      </c>
      <c r="B2415" t="str">
        <f>T("   Outils de perçage, de filetage ou de taraudage, maniés à la main")</f>
        <v xml:space="preserve">   Outils de perçage, de filetage ou de taraudage, maniés à la main</v>
      </c>
      <c r="C2415">
        <v>4910213</v>
      </c>
      <c r="D2415">
        <v>14684</v>
      </c>
    </row>
    <row r="2416" spans="1:4" x14ac:dyDescent="0.25">
      <c r="A2416" t="str">
        <f>T("   820520")</f>
        <v xml:space="preserve">   820520</v>
      </c>
      <c r="B2416" t="str">
        <f>T("   Marteaux et masses, avec partie travaillante en métaux communs")</f>
        <v xml:space="preserve">   Marteaux et masses, avec partie travaillante en métaux communs</v>
      </c>
      <c r="C2416">
        <v>2898048</v>
      </c>
      <c r="D2416">
        <v>5534</v>
      </c>
    </row>
    <row r="2417" spans="1:4" x14ac:dyDescent="0.25">
      <c r="A2417" t="str">
        <f>T("   820530")</f>
        <v xml:space="preserve">   820530</v>
      </c>
      <c r="B2417" t="str">
        <f>T("   Rabots, ciseaux, gouges et outils tranchants simil. à main pour le travail du bois")</f>
        <v xml:space="preserve">   Rabots, ciseaux, gouges et outils tranchants simil. à main pour le travail du bois</v>
      </c>
      <c r="C2417">
        <v>293708</v>
      </c>
      <c r="D2417">
        <v>940</v>
      </c>
    </row>
    <row r="2418" spans="1:4" x14ac:dyDescent="0.25">
      <c r="A2418" t="str">
        <f>T("   820540")</f>
        <v xml:space="preserve">   820540</v>
      </c>
      <c r="B2418" t="str">
        <f>T("   Tournevis à main")</f>
        <v xml:space="preserve">   Tournevis à main</v>
      </c>
      <c r="C2418">
        <v>5782575</v>
      </c>
      <c r="D2418">
        <v>40630</v>
      </c>
    </row>
    <row r="2419" spans="1:4" x14ac:dyDescent="0.25">
      <c r="A2419" t="str">
        <f>T("   820559")</f>
        <v xml:space="preserve">   820559</v>
      </c>
      <c r="B2419" t="str">
        <f>T("   Outils à main, y.c. -les diamants de vitrier-, en métaux communs, n.d.a.")</f>
        <v xml:space="preserve">   Outils à main, y.c. -les diamants de vitrier-, en métaux communs, n.d.a.</v>
      </c>
      <c r="C2419">
        <v>45117520</v>
      </c>
      <c r="D2419">
        <v>36860</v>
      </c>
    </row>
    <row r="2420" spans="1:4" x14ac:dyDescent="0.25">
      <c r="A2420" t="str">
        <f>T("   820570")</f>
        <v xml:space="preserve">   820570</v>
      </c>
      <c r="B2420" t="str">
        <f>T("   Etaux, serre-joints et simil. (autres que ceux constituant des accessoires ou des parties de machines-outils)")</f>
        <v xml:space="preserve">   Etaux, serre-joints et simil. (autres que ceux constituant des accessoires ou des parties de machines-outils)</v>
      </c>
      <c r="C2420">
        <v>745730</v>
      </c>
      <c r="D2420">
        <v>800</v>
      </c>
    </row>
    <row r="2421" spans="1:4" x14ac:dyDescent="0.25">
      <c r="A2421" t="str">
        <f>T("   820590")</f>
        <v xml:space="preserve">   820590</v>
      </c>
      <c r="B2421" t="str">
        <f>T("   Assortiments d'outils d'au moins deux des sous-positions du n° 8205")</f>
        <v xml:space="preserve">   Assortiments d'outils d'au moins deux des sous-positions du n° 8205</v>
      </c>
      <c r="C2421">
        <v>592476</v>
      </c>
      <c r="D2421">
        <v>250</v>
      </c>
    </row>
    <row r="2422" spans="1:4" x14ac:dyDescent="0.25">
      <c r="A2422" t="str">
        <f>T("   820600")</f>
        <v xml:space="preserve">   820600</v>
      </c>
      <c r="B2422" t="str">
        <f>T("   Outils d'au moins deux du n° 8202 à 8205, conditionnés en assortiments pour la vente au détail")</f>
        <v xml:space="preserve">   Outils d'au moins deux du n° 8202 à 8205, conditionnés en assortiments pour la vente au détail</v>
      </c>
      <c r="C2422">
        <v>1901581</v>
      </c>
      <c r="D2422">
        <v>1477</v>
      </c>
    </row>
    <row r="2423" spans="1:4" x14ac:dyDescent="0.25">
      <c r="A2423" t="str">
        <f>T("   820719")</f>
        <v xml:space="preserve">   820719</v>
      </c>
      <c r="B2423" t="str">
        <f>T("   Outils de forage ou de sondage, interchangeables, et leurs parties, avec partie travaillante en matières autres qu'en carbures métalliques frittés ou en cermets")</f>
        <v xml:space="preserve">   Outils de forage ou de sondage, interchangeables, et leurs parties, avec partie travaillante en matières autres qu'en carbures métalliques frittés ou en cermets</v>
      </c>
      <c r="C2423">
        <v>21439511</v>
      </c>
      <c r="D2423">
        <v>12127</v>
      </c>
    </row>
    <row r="2424" spans="1:4" x14ac:dyDescent="0.25">
      <c r="A2424" t="str">
        <f>T("   820890")</f>
        <v xml:space="preserve">   820890</v>
      </c>
      <c r="B2424" t="s">
        <v>377</v>
      </c>
      <c r="C2424">
        <v>146202</v>
      </c>
      <c r="D2424">
        <v>105</v>
      </c>
    </row>
    <row r="2425" spans="1:4" x14ac:dyDescent="0.25">
      <c r="A2425" t="str">
        <f>T("   821000")</f>
        <v xml:space="preserve">   821000</v>
      </c>
      <c r="B2425" t="s">
        <v>378</v>
      </c>
      <c r="C2425">
        <v>1118129</v>
      </c>
      <c r="D2425">
        <v>735</v>
      </c>
    </row>
    <row r="2426" spans="1:4" x14ac:dyDescent="0.25">
      <c r="A2426" t="str">
        <f>T("   821191")</f>
        <v xml:space="preserve">   821191</v>
      </c>
      <c r="B2426" t="str">
        <f>T("   Couteaux de table à lame fixe, en métaux communs, y.c. les manches (sauf couteaux à beurre et couteaux à poisson)")</f>
        <v xml:space="preserve">   Couteaux de table à lame fixe, en métaux communs, y.c. les manches (sauf couteaux à beurre et couteaux à poisson)</v>
      </c>
      <c r="C2426">
        <v>1650251</v>
      </c>
      <c r="D2426">
        <v>3373</v>
      </c>
    </row>
    <row r="2427" spans="1:4" x14ac:dyDescent="0.25">
      <c r="A2427" t="str">
        <f>T("   821192")</f>
        <v xml:space="preserve">   821192</v>
      </c>
      <c r="B2427" t="s">
        <v>379</v>
      </c>
      <c r="C2427">
        <v>54167</v>
      </c>
      <c r="D2427">
        <v>311</v>
      </c>
    </row>
    <row r="2428" spans="1:4" x14ac:dyDescent="0.25">
      <c r="A2428" t="str">
        <f>T("   821194")</f>
        <v xml:space="preserve">   821194</v>
      </c>
      <c r="B2428" t="str">
        <f>T("   Lames tranchantes ou dentelées, en métaux communs pour couteaux de table, couteaux de poche -canifs-, et autres couteaux du n° 8211")</f>
        <v xml:space="preserve">   Lames tranchantes ou dentelées, en métaux communs pour couteaux de table, couteaux de poche -canifs-, et autres couteaux du n° 8211</v>
      </c>
      <c r="C2428">
        <v>1300000</v>
      </c>
      <c r="D2428">
        <v>3655</v>
      </c>
    </row>
    <row r="2429" spans="1:4" x14ac:dyDescent="0.25">
      <c r="A2429" t="str">
        <f>T("   821210")</f>
        <v xml:space="preserve">   821210</v>
      </c>
      <c r="B2429" t="str">
        <f>T("   Rasoirs et rasoirs de sûreté non-électriques, en métaux communs")</f>
        <v xml:space="preserve">   Rasoirs et rasoirs de sûreté non-électriques, en métaux communs</v>
      </c>
      <c r="C2429">
        <v>6558309</v>
      </c>
      <c r="D2429">
        <v>39174</v>
      </c>
    </row>
    <row r="2430" spans="1:4" x14ac:dyDescent="0.25">
      <c r="A2430" t="str">
        <f>T("   821300")</f>
        <v xml:space="preserve">   821300</v>
      </c>
      <c r="B2430" t="str">
        <f>T("   Ciseaux à doubles branches et leurs lames, en métaux communs (sauf taille-haies, cisailles et articles simil. actionnés des deux mains, sécateurs et articles simil. actionnés d'une main et sauf ciseaux spéciaux de maréchal-ferrant)")</f>
        <v xml:space="preserve">   Ciseaux à doubles branches et leurs lames, en métaux communs (sauf taille-haies, cisailles et articles simil. actionnés des deux mains, sécateurs et articles simil. actionnés d'une main et sauf ciseaux spéciaux de maréchal-ferrant)</v>
      </c>
      <c r="C2430">
        <v>5582371</v>
      </c>
      <c r="D2430">
        <v>7197</v>
      </c>
    </row>
    <row r="2431" spans="1:4" x14ac:dyDescent="0.25">
      <c r="A2431" t="str">
        <f>T("   821410")</f>
        <v xml:space="preserve">   821410</v>
      </c>
      <c r="B2431" t="str">
        <f>T("   Coupe-papier, ouvre-lettres, grattoirs, taille-crayons et leurs lames, en métaux communs (sauf machines, appareils et instruments à usage similaire du chapitre 84)")</f>
        <v xml:space="preserve">   Coupe-papier, ouvre-lettres, grattoirs, taille-crayons et leurs lames, en métaux communs (sauf machines, appareils et instruments à usage similaire du chapitre 84)</v>
      </c>
      <c r="C2431">
        <v>3370458</v>
      </c>
      <c r="D2431">
        <v>5709</v>
      </c>
    </row>
    <row r="2432" spans="1:4" x14ac:dyDescent="0.25">
      <c r="A2432" t="str">
        <f>T("   821420")</f>
        <v xml:space="preserve">   821420</v>
      </c>
      <c r="B2432" t="str">
        <f>T("   Outils et assortiments d'outils de manucure ou de pédicure, y.c. -les limes à ongles-, en métaux communs (sauf ciseaux ordinaires)")</f>
        <v xml:space="preserve">   Outils et assortiments d'outils de manucure ou de pédicure, y.c. -les limes à ongles-, en métaux communs (sauf ciseaux ordinaires)</v>
      </c>
      <c r="C2432">
        <v>416834</v>
      </c>
      <c r="D2432">
        <v>129</v>
      </c>
    </row>
    <row r="2433" spans="1:4" x14ac:dyDescent="0.25">
      <c r="A2433" t="str">
        <f>T("   821520")</f>
        <v xml:space="preserve">   821520</v>
      </c>
      <c r="B2433" t="str">
        <f>T("   ASSORTIMENTS COMPOSÉS D'UN OU PLUSIEURS COUTEAUX DU N° 8211 ET D'UN NOMBRE AU MOINS ÉGAL DE CUILLERS, FOURCHETTES OU AUTRES ARTICLES DU N° N° 8215, EN MÉTAUX COMMUNS, NE COMPRENANT AUCUNE PARTIE ARGENTÉE, DORÉE OU PLATINÉE")</f>
        <v xml:space="preserve">   ASSORTIMENTS COMPOSÉS D'UN OU PLUSIEURS COUTEAUX DU N° 8211 ET D'UN NOMBRE AU MOINS ÉGAL DE CUILLERS, FOURCHETTES OU AUTRES ARTICLES DU N° N° 8215, EN MÉTAUX COMMUNS, NE COMPRENANT AUCUNE PARTIE ARGENTÉE, DORÉE OU PLATINÉE</v>
      </c>
      <c r="C2433">
        <v>3114249</v>
      </c>
      <c r="D2433">
        <v>6519</v>
      </c>
    </row>
    <row r="2434" spans="1:4" x14ac:dyDescent="0.25">
      <c r="A2434" t="str">
        <f>T("   821599")</f>
        <v xml:space="preserve">   821599</v>
      </c>
      <c r="B2434" t="s">
        <v>380</v>
      </c>
      <c r="C2434">
        <v>16496523</v>
      </c>
      <c r="D2434">
        <v>97658</v>
      </c>
    </row>
    <row r="2435" spans="1:4" x14ac:dyDescent="0.25">
      <c r="A2435" t="str">
        <f>T("   830110")</f>
        <v xml:space="preserve">   830110</v>
      </c>
      <c r="B2435" t="str">
        <f>T("   Cadenas, en métaux communs")</f>
        <v xml:space="preserve">   Cadenas, en métaux communs</v>
      </c>
      <c r="C2435">
        <v>9589643</v>
      </c>
      <c r="D2435">
        <v>45608</v>
      </c>
    </row>
    <row r="2436" spans="1:4" x14ac:dyDescent="0.25">
      <c r="A2436" t="str">
        <f>T("   830130")</f>
        <v xml:space="preserve">   830130</v>
      </c>
      <c r="B2436" t="str">
        <f>T("   Serrures des types utilisés pour meubles, en métaux communs")</f>
        <v xml:space="preserve">   Serrures des types utilisés pour meubles, en métaux communs</v>
      </c>
      <c r="C2436">
        <v>15466875</v>
      </c>
      <c r="D2436">
        <v>97144</v>
      </c>
    </row>
    <row r="2437" spans="1:4" x14ac:dyDescent="0.25">
      <c r="A2437" t="str">
        <f>T("   830140")</f>
        <v xml:space="preserve">   830140</v>
      </c>
      <c r="B2437" t="str">
        <f>T("   Serrures et verrous, en métaux communs (autres que cadenas et serrures des types utilisés pour véhicules automobiles ou meubles)")</f>
        <v xml:space="preserve">   Serrures et verrous, en métaux communs (autres que cadenas et serrures des types utilisés pour véhicules automobiles ou meubles)</v>
      </c>
      <c r="C2437">
        <v>103201811</v>
      </c>
      <c r="D2437">
        <v>580362.5</v>
      </c>
    </row>
    <row r="2438" spans="1:4" x14ac:dyDescent="0.25">
      <c r="A2438" t="str">
        <f>T("   830160")</f>
        <v xml:space="preserve">   830160</v>
      </c>
      <c r="B2438" t="str">
        <f>T("   Parties des cadenas, serrures et verrous, ainsi que des fermoirs et montures-fermoirs, avec serrure, en métaux communs, n.d.a.")</f>
        <v xml:space="preserve">   Parties des cadenas, serrures et verrous, ainsi que des fermoirs et montures-fermoirs, avec serrure, en métaux communs, n.d.a.</v>
      </c>
      <c r="C2438">
        <v>734582</v>
      </c>
      <c r="D2438">
        <v>4668</v>
      </c>
    </row>
    <row r="2439" spans="1:4" x14ac:dyDescent="0.25">
      <c r="A2439" t="str">
        <f>T("   830210")</f>
        <v xml:space="preserve">   830210</v>
      </c>
      <c r="B2439" t="str">
        <f>T("   Charnières de tous genres, y.c. les paumelles et pentures, en métaux communs")</f>
        <v xml:space="preserve">   Charnières de tous genres, y.c. les paumelles et pentures, en métaux communs</v>
      </c>
      <c r="C2439">
        <v>16113364</v>
      </c>
      <c r="D2439">
        <v>79662</v>
      </c>
    </row>
    <row r="2440" spans="1:4" x14ac:dyDescent="0.25">
      <c r="A2440" t="str">
        <f>T("   830241")</f>
        <v xml:space="preserve">   830241</v>
      </c>
      <c r="B2440" t="str">
        <f>T("   Garnitures, ferrures et simil., pour bâtiments, en métaux communs (sauf serrures et verrous de sûreté à clef et sauf charnières)")</f>
        <v xml:space="preserve">   Garnitures, ferrures et simil., pour bâtiments, en métaux communs (sauf serrures et verrous de sûreté à clef et sauf charnières)</v>
      </c>
      <c r="C2440">
        <v>13394897</v>
      </c>
      <c r="D2440">
        <v>37453</v>
      </c>
    </row>
    <row r="2441" spans="1:4" x14ac:dyDescent="0.25">
      <c r="A2441" t="str">
        <f>T("   830249")</f>
        <v xml:space="preserve">   830249</v>
      </c>
      <c r="B2441" t="s">
        <v>381</v>
      </c>
      <c r="C2441">
        <v>8853933</v>
      </c>
      <c r="D2441">
        <v>50230</v>
      </c>
    </row>
    <row r="2442" spans="1:4" x14ac:dyDescent="0.25">
      <c r="A2442" t="str">
        <f>T("   830250")</f>
        <v xml:space="preserve">   830250</v>
      </c>
      <c r="B2442" t="str">
        <f>T("   Patères, porte-chapeaux, supports et articles simil. en métaux communs")</f>
        <v xml:space="preserve">   Patères, porte-chapeaux, supports et articles simil. en métaux communs</v>
      </c>
      <c r="C2442">
        <v>6359521</v>
      </c>
      <c r="D2442">
        <v>10981</v>
      </c>
    </row>
    <row r="2443" spans="1:4" x14ac:dyDescent="0.25">
      <c r="A2443" t="str">
        <f>T("   830300")</f>
        <v xml:space="preserve">   830300</v>
      </c>
      <c r="B2443" t="str">
        <f>T("   Coffres-forts, portes blindées et compartiments pour chambres fortes, coffres et cassettes de sûreté et articles simil., en métaux communs")</f>
        <v xml:space="preserve">   Coffres-forts, portes blindées et compartiments pour chambres fortes, coffres et cassettes de sûreté et articles simil., en métaux communs</v>
      </c>
      <c r="C2443">
        <v>2293165</v>
      </c>
      <c r="D2443">
        <v>3598</v>
      </c>
    </row>
    <row r="2444" spans="1:4" x14ac:dyDescent="0.25">
      <c r="A2444" t="str">
        <f>T("   830590")</f>
        <v xml:space="preserve">   830590</v>
      </c>
      <c r="B2444" t="s">
        <v>382</v>
      </c>
      <c r="C2444">
        <v>1835159</v>
      </c>
      <c r="D2444">
        <v>2458</v>
      </c>
    </row>
    <row r="2445" spans="1:4" x14ac:dyDescent="0.25">
      <c r="A2445" t="str">
        <f>T("   830610")</f>
        <v xml:space="preserve">   830610</v>
      </c>
      <c r="B2445" t="str">
        <f>T("   Cloches, sonnettes, gongs et articles simil. non-électriques, en métaux communs (sauf instruments de musique)")</f>
        <v xml:space="preserve">   Cloches, sonnettes, gongs et articles simil. non-électriques, en métaux communs (sauf instruments de musique)</v>
      </c>
      <c r="C2445">
        <v>129904</v>
      </c>
      <c r="D2445">
        <v>1500</v>
      </c>
    </row>
    <row r="2446" spans="1:4" x14ac:dyDescent="0.25">
      <c r="A2446" t="str">
        <f>T("   830629")</f>
        <v xml:space="preserve">   830629</v>
      </c>
      <c r="B2446" t="str">
        <f>T("   Statuettes et autres objets d'ornement, en métaux communs, ni argentés, ni dorés, ni platinés (sauf objets d'art, pièces de collection et antiquités)")</f>
        <v xml:space="preserve">   Statuettes et autres objets d'ornement, en métaux communs, ni argentés, ni dorés, ni platinés (sauf objets d'art, pièces de collection et antiquités)</v>
      </c>
      <c r="C2446">
        <v>1060000</v>
      </c>
      <c r="D2446">
        <v>2718</v>
      </c>
    </row>
    <row r="2447" spans="1:4" x14ac:dyDescent="0.25">
      <c r="A2447" t="str">
        <f>T("   830630")</f>
        <v xml:space="preserve">   830630</v>
      </c>
      <c r="B2447" t="str">
        <f>T("   Cadres pour photographies, gravures ou simil., en métaux communs; miroirs, en métaux communs (sauf éléments optiques)")</f>
        <v xml:space="preserve">   Cadres pour photographies, gravures ou simil., en métaux communs; miroirs, en métaux communs (sauf éléments optiques)</v>
      </c>
      <c r="C2447">
        <v>8566059</v>
      </c>
      <c r="D2447">
        <v>26851</v>
      </c>
    </row>
    <row r="2448" spans="1:4" x14ac:dyDescent="0.25">
      <c r="A2448" t="str">
        <f>T("   830710")</f>
        <v xml:space="preserve">   830710</v>
      </c>
      <c r="B2448" t="str">
        <f>T("   Tuyaux flexibles en fer ou en acier, même avec accessoires")</f>
        <v xml:space="preserve">   Tuyaux flexibles en fer ou en acier, même avec accessoires</v>
      </c>
      <c r="C2448">
        <v>602641</v>
      </c>
      <c r="D2448">
        <v>1600</v>
      </c>
    </row>
    <row r="2449" spans="1:4" x14ac:dyDescent="0.25">
      <c r="A2449" t="str">
        <f>T("   830790")</f>
        <v xml:space="preserve">   830790</v>
      </c>
      <c r="B2449" t="str">
        <f>T("   Tuyaux flexibles en métaux communs autres que le fer ou l'acier, même avec accessoires")</f>
        <v xml:space="preserve">   Tuyaux flexibles en métaux communs autres que le fer ou l'acier, même avec accessoires</v>
      </c>
      <c r="C2449">
        <v>8941795</v>
      </c>
      <c r="D2449">
        <v>3432</v>
      </c>
    </row>
    <row r="2450" spans="1:4" x14ac:dyDescent="0.25">
      <c r="A2450" t="str">
        <f>T("   830810")</f>
        <v xml:space="preserve">   830810</v>
      </c>
      <c r="B2450" t="str">
        <f>T("   Agrafes, crochets et oeillets, en métaux communs, pour vêtements, chaussures, bâches, maroquinerie, ou pour toutes confections ou équipements")</f>
        <v xml:space="preserve">   Agrafes, crochets et oeillets, en métaux communs, pour vêtements, chaussures, bâches, maroquinerie, ou pour toutes confections ou équipements</v>
      </c>
      <c r="C2450">
        <v>1949207</v>
      </c>
      <c r="D2450">
        <v>7934</v>
      </c>
    </row>
    <row r="2451" spans="1:4" x14ac:dyDescent="0.25">
      <c r="A2451" t="str">
        <f>T("   830990")</f>
        <v xml:space="preserve">   830990</v>
      </c>
      <c r="B2451" t="str">
        <f>T("   Bouchons [y.c. les bouchons à pas de vis et les bouchons-verseurs], couvercles, capsules pour bouteilles, bondes filetées, plaques de bondes, scellés et autres accessoires d'emballage, en métaux communs (à l'excl. des bouchons-couronnes)")</f>
        <v xml:space="preserve">   Bouchons [y.c. les bouchons à pas de vis et les bouchons-verseurs], couvercles, capsules pour bouteilles, bondes filetées, plaques de bondes, scellés et autres accessoires d'emballage, en métaux communs (à l'excl. des bouchons-couronnes)</v>
      </c>
      <c r="C2451">
        <v>19158221</v>
      </c>
      <c r="D2451">
        <v>37162</v>
      </c>
    </row>
    <row r="2452" spans="1:4" x14ac:dyDescent="0.25">
      <c r="A2452" t="str">
        <f>T("   831130")</f>
        <v xml:space="preserve">   831130</v>
      </c>
      <c r="B2452" t="s">
        <v>384</v>
      </c>
      <c r="C2452">
        <v>5449254</v>
      </c>
      <c r="D2452">
        <v>52934</v>
      </c>
    </row>
    <row r="2453" spans="1:4" x14ac:dyDescent="0.25">
      <c r="A2453" t="str">
        <f>T("   831190")</f>
        <v xml:space="preserve">   831190</v>
      </c>
      <c r="B2453" t="s">
        <v>385</v>
      </c>
      <c r="C2453">
        <v>4000000</v>
      </c>
      <c r="D2453">
        <v>19660</v>
      </c>
    </row>
    <row r="2454" spans="1:4" x14ac:dyDescent="0.25">
      <c r="A2454" t="str">
        <f>T("   840510")</f>
        <v xml:space="preserve">   840510</v>
      </c>
      <c r="B2454" t="s">
        <v>386</v>
      </c>
      <c r="C2454">
        <v>500000</v>
      </c>
      <c r="D2454">
        <v>4240</v>
      </c>
    </row>
    <row r="2455" spans="1:4" x14ac:dyDescent="0.25">
      <c r="A2455" t="str">
        <f>T("   840732")</f>
        <v xml:space="preserve">   840732</v>
      </c>
      <c r="B2455" t="s">
        <v>389</v>
      </c>
      <c r="C2455">
        <v>1595756</v>
      </c>
      <c r="D2455">
        <v>3250</v>
      </c>
    </row>
    <row r="2456" spans="1:4" x14ac:dyDescent="0.25">
      <c r="A2456" t="str">
        <f>T("   840734")</f>
        <v xml:space="preserve">   840734</v>
      </c>
      <c r="B2456" t="s">
        <v>390</v>
      </c>
      <c r="C2456">
        <v>3867765</v>
      </c>
      <c r="D2456">
        <v>2144</v>
      </c>
    </row>
    <row r="2457" spans="1:4" x14ac:dyDescent="0.25">
      <c r="A2457" t="str">
        <f>T("   840790")</f>
        <v xml:space="preserve">   840790</v>
      </c>
      <c r="B2457" t="s">
        <v>391</v>
      </c>
      <c r="C2457">
        <v>499962</v>
      </c>
      <c r="D2457">
        <v>500</v>
      </c>
    </row>
    <row r="2458" spans="1:4" x14ac:dyDescent="0.25">
      <c r="A2458" t="str">
        <f>T("   840820")</f>
        <v xml:space="preserve">   840820</v>
      </c>
      <c r="B2458" t="s">
        <v>392</v>
      </c>
      <c r="C2458">
        <v>600000</v>
      </c>
      <c r="D2458">
        <v>720</v>
      </c>
    </row>
    <row r="2459" spans="1:4" x14ac:dyDescent="0.25">
      <c r="A2459" t="str">
        <f>T("   840890")</f>
        <v xml:space="preserve">   840890</v>
      </c>
      <c r="B2459" t="s">
        <v>393</v>
      </c>
      <c r="C2459">
        <v>1149053</v>
      </c>
      <c r="D2459">
        <v>800</v>
      </c>
    </row>
    <row r="2460" spans="1:4" x14ac:dyDescent="0.25">
      <c r="A2460" t="str">
        <f>T("   840999")</f>
        <v xml:space="preserve">   840999</v>
      </c>
      <c r="B2460"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2460">
        <v>2696339</v>
      </c>
      <c r="D2460">
        <v>1407</v>
      </c>
    </row>
    <row r="2461" spans="1:4" x14ac:dyDescent="0.25">
      <c r="A2461" t="str">
        <f>T("   841229")</f>
        <v xml:space="preserve">   841229</v>
      </c>
      <c r="B2461" t="str">
        <f>T("   Moteurs hydrauliques (autres que turbines hydrauliques ou roues hydrauliques du n° 8410, turbines à vapeur et moteurs hydrauliques, à mouvement rectiligne -cylindres-)")</f>
        <v xml:space="preserve">   Moteurs hydrauliques (autres que turbines hydrauliques ou roues hydrauliques du n° 8410, turbines à vapeur et moteurs hydrauliques, à mouvement rectiligne -cylindres-)</v>
      </c>
      <c r="C2461">
        <v>1000000</v>
      </c>
      <c r="D2461">
        <v>2500</v>
      </c>
    </row>
    <row r="2462" spans="1:4" x14ac:dyDescent="0.25">
      <c r="A2462" t="str">
        <f>T("   841311")</f>
        <v xml:space="preserve">   841311</v>
      </c>
      <c r="B2462" t="str">
        <f>T("   Pompes pour distribution, comportant un dispositif mesureur de liquide ou conçues pour en comporter pour carburants ou lubrifiants, des types utilisés dans les stations-service ou les garages")</f>
        <v xml:space="preserve">   Pompes pour distribution, comportant un dispositif mesureur de liquide ou conçues pour en comporter pour carburants ou lubrifiants, des types utilisés dans les stations-service ou les garages</v>
      </c>
      <c r="C2462">
        <v>178990757</v>
      </c>
      <c r="D2462">
        <v>56491</v>
      </c>
    </row>
    <row r="2463" spans="1:4" x14ac:dyDescent="0.25">
      <c r="A2463" t="str">
        <f>T("   841319")</f>
        <v xml:space="preserve">   841319</v>
      </c>
      <c r="B2463" t="str">
        <f>T("   Pompes pour liquides, avec dispositif mesureur ou conçues pour en comporter (sauf pompes pour la distribution de carburants ou lubrifiants, des types utilisés dans les stations-service ou les garages)")</f>
        <v xml:space="preserve">   Pompes pour liquides, avec dispositif mesureur ou conçues pour en comporter (sauf pompes pour la distribution de carburants ou lubrifiants, des types utilisés dans les stations-service ou les garages)</v>
      </c>
      <c r="C2463">
        <v>95870</v>
      </c>
      <c r="D2463">
        <v>288</v>
      </c>
    </row>
    <row r="2464" spans="1:4" x14ac:dyDescent="0.25">
      <c r="A2464" t="str">
        <f>T("   841330")</f>
        <v xml:space="preserve">   841330</v>
      </c>
      <c r="B2464" t="str">
        <f>T("   Pompes à carburant, à huile ou à liquide de refroidissement pour moteurs à allumage par étincelles ou par compression")</f>
        <v xml:space="preserve">   Pompes à carburant, à huile ou à liquide de refroidissement pour moteurs à allumage par étincelles ou par compression</v>
      </c>
      <c r="C2464">
        <v>16684050</v>
      </c>
      <c r="D2464">
        <v>406</v>
      </c>
    </row>
    <row r="2465" spans="1:4" x14ac:dyDescent="0.25">
      <c r="A2465" t="str">
        <f>T("   841370")</f>
        <v xml:space="preserve">   841370</v>
      </c>
      <c r="B2465" t="s">
        <v>396</v>
      </c>
      <c r="C2465">
        <v>9833305</v>
      </c>
      <c r="D2465">
        <v>5912</v>
      </c>
    </row>
    <row r="2466" spans="1:4" x14ac:dyDescent="0.25">
      <c r="A2466" t="str">
        <f>T("   841381")</f>
        <v xml:space="preserve">   841381</v>
      </c>
      <c r="B2466" t="s">
        <v>397</v>
      </c>
      <c r="C2466">
        <v>32266186</v>
      </c>
      <c r="D2466">
        <v>21810</v>
      </c>
    </row>
    <row r="2467" spans="1:4" x14ac:dyDescent="0.25">
      <c r="A2467" t="str">
        <f>T("   841382")</f>
        <v xml:space="preserve">   841382</v>
      </c>
      <c r="B2467" t="str">
        <f>T("   Elévateurs à liquides (à l'excl. des pompes)")</f>
        <v xml:space="preserve">   Elévateurs à liquides (à l'excl. des pompes)</v>
      </c>
      <c r="C2467">
        <v>211872</v>
      </c>
      <c r="D2467">
        <v>380</v>
      </c>
    </row>
    <row r="2468" spans="1:4" x14ac:dyDescent="0.25">
      <c r="A2468" t="str">
        <f>T("   841391")</f>
        <v xml:space="preserve">   841391</v>
      </c>
      <c r="B2468" t="str">
        <f>T("   Parties de pompes pour liquides, n.d.a.")</f>
        <v xml:space="preserve">   Parties de pompes pour liquides, n.d.a.</v>
      </c>
      <c r="C2468">
        <v>29880373</v>
      </c>
      <c r="D2468">
        <v>11036</v>
      </c>
    </row>
    <row r="2469" spans="1:4" x14ac:dyDescent="0.25">
      <c r="A2469" t="str">
        <f>T("   841420")</f>
        <v xml:space="preserve">   841420</v>
      </c>
      <c r="B2469" t="str">
        <f>T("   Pompes à air, à main ou à pied")</f>
        <v xml:space="preserve">   Pompes à air, à main ou à pied</v>
      </c>
      <c r="C2469">
        <v>366223</v>
      </c>
      <c r="D2469">
        <v>2040</v>
      </c>
    </row>
    <row r="2470" spans="1:4" x14ac:dyDescent="0.25">
      <c r="A2470" t="str">
        <f>T("   841430")</f>
        <v xml:space="preserve">   841430</v>
      </c>
      <c r="B2470" t="str">
        <f>T("   Compresseurs des types utilisés pour équipements frigorifiques")</f>
        <v xml:space="preserve">   Compresseurs des types utilisés pour équipements frigorifiques</v>
      </c>
      <c r="C2470">
        <v>5775560</v>
      </c>
      <c r="D2470">
        <v>5267</v>
      </c>
    </row>
    <row r="2471" spans="1:4" x14ac:dyDescent="0.25">
      <c r="A2471" t="str">
        <f>T("   841440")</f>
        <v xml:space="preserve">   841440</v>
      </c>
      <c r="B2471" t="str">
        <f>T("   Compresseurs d'air montés sur châssis à roues et remorquables")</f>
        <v xml:space="preserve">   Compresseurs d'air montés sur châssis à roues et remorquables</v>
      </c>
      <c r="C2471">
        <v>300000</v>
      </c>
      <c r="D2471">
        <v>2500</v>
      </c>
    </row>
    <row r="2472" spans="1:4" x14ac:dyDescent="0.25">
      <c r="A2472" t="str">
        <f>T("   841451")</f>
        <v xml:space="preserve">   841451</v>
      </c>
      <c r="B2472" t="str">
        <f>T("   Ventilateurs de table, de sol, muraux, plafonniers, de toitures ou de fenêtres, à moteur électrique incorporé, d'une puissance &lt;= 125 W")</f>
        <v xml:space="preserve">   Ventilateurs de table, de sol, muraux, plafonniers, de toitures ou de fenêtres, à moteur électrique incorporé, d'une puissance &lt;= 125 W</v>
      </c>
      <c r="C2472">
        <v>178994937</v>
      </c>
      <c r="D2472">
        <v>346343</v>
      </c>
    </row>
    <row r="2473" spans="1:4" x14ac:dyDescent="0.25">
      <c r="A2473" t="str">
        <f>T("   841459")</f>
        <v xml:space="preserve">   841459</v>
      </c>
      <c r="B2473" t="str">
        <f>T("   Ventilateurs (sauf ventilateurs de table, de sol, muraux, plafonniers, de toitures ou de fenêtres, à moteur électrique incorporé, d'une puissance &lt;= 125 W)")</f>
        <v xml:space="preserve">   Ventilateurs (sauf ventilateurs de table, de sol, muraux, plafonniers, de toitures ou de fenêtres, à moteur électrique incorporé, d'une puissance &lt;= 125 W)</v>
      </c>
      <c r="C2473">
        <v>30159592</v>
      </c>
      <c r="D2473">
        <v>100585</v>
      </c>
    </row>
    <row r="2474" spans="1:4" x14ac:dyDescent="0.25">
      <c r="A2474" t="str">
        <f>T("   841480")</f>
        <v xml:space="preserve">   841480</v>
      </c>
      <c r="B2474" t="s">
        <v>398</v>
      </c>
      <c r="C2474">
        <v>23904922</v>
      </c>
      <c r="D2474">
        <v>5968</v>
      </c>
    </row>
    <row r="2475" spans="1:4" x14ac:dyDescent="0.25">
      <c r="A2475" t="str">
        <f>T("   841490")</f>
        <v xml:space="preserve">   841490</v>
      </c>
      <c r="B2475" t="str">
        <f>T("   Parties de pompes à air ou à vide, de compresseurs d'air ou d'autres gaz et de ventilateurs, de hottes aspirantes à extraction ou à recyclage, à ventilateur incorporé, n.d.a.")</f>
        <v xml:space="preserve">   Parties de pompes à air ou à vide, de compresseurs d'air ou d'autres gaz et de ventilateurs, de hottes aspirantes à extraction ou à recyclage, à ventilateur incorporé, n.d.a.</v>
      </c>
      <c r="C2475">
        <v>8010786</v>
      </c>
      <c r="D2475">
        <v>18770</v>
      </c>
    </row>
    <row r="2476" spans="1:4" x14ac:dyDescent="0.25">
      <c r="A2476" t="str">
        <f>T("   841510")</f>
        <v xml:space="preserve">   841510</v>
      </c>
      <c r="B2476" t="s">
        <v>399</v>
      </c>
      <c r="C2476">
        <v>214660337</v>
      </c>
      <c r="D2476">
        <v>273696</v>
      </c>
    </row>
    <row r="2477" spans="1:4" x14ac:dyDescent="0.25">
      <c r="A2477" t="str">
        <f>T("   841520")</f>
        <v xml:space="preserve">   841520</v>
      </c>
      <c r="B2477" t="str">
        <f>T("   Machines et appareils pour le conditionnement de l'air du type de ceux utilisés pour le confort des personnes dans les véhicules automobiles")</f>
        <v xml:space="preserve">   Machines et appareils pour le conditionnement de l'air du type de ceux utilisés pour le confort des personnes dans les véhicules automobiles</v>
      </c>
      <c r="C2477">
        <v>218104</v>
      </c>
      <c r="D2477">
        <v>399</v>
      </c>
    </row>
    <row r="2478" spans="1:4" x14ac:dyDescent="0.25">
      <c r="A2478" t="str">
        <f>T("   841581")</f>
        <v xml:space="preserve">   841581</v>
      </c>
      <c r="B2478" t="s">
        <v>400</v>
      </c>
      <c r="C2478">
        <v>2977389</v>
      </c>
      <c r="D2478">
        <v>1370</v>
      </c>
    </row>
    <row r="2479" spans="1:4" x14ac:dyDescent="0.25">
      <c r="A2479" t="str">
        <f>T("   841582")</f>
        <v xml:space="preserve">   841582</v>
      </c>
      <c r="B2479" t="s">
        <v>401</v>
      </c>
      <c r="C2479">
        <v>5121787</v>
      </c>
      <c r="D2479">
        <v>4099</v>
      </c>
    </row>
    <row r="2480" spans="1:4" x14ac:dyDescent="0.25">
      <c r="A2480" t="str">
        <f>T("   841590")</f>
        <v xml:space="preserve">   841590</v>
      </c>
      <c r="B2480" t="str">
        <f>T("   Parties de machines et appareils pour le conditionnement de l'air comprenant un ventilateur à moteur et des dispositifs propres à modifier la température et l'humidité de l'air, n.d.a.")</f>
        <v xml:space="preserve">   Parties de machines et appareils pour le conditionnement de l'air comprenant un ventilateur à moteur et des dispositifs propres à modifier la température et l'humidité de l'air, n.d.a.</v>
      </c>
      <c r="C2480">
        <v>10237121</v>
      </c>
      <c r="D2480">
        <v>19204</v>
      </c>
    </row>
    <row r="2481" spans="1:4" x14ac:dyDescent="0.25">
      <c r="A2481" t="str">
        <f>T("   841720")</f>
        <v xml:space="preserve">   841720</v>
      </c>
      <c r="B2481" t="str">
        <f>T("   Fours non-électriques, de boulangerie, de pâtisserie ou de biscuiterie")</f>
        <v xml:space="preserve">   Fours non-électriques, de boulangerie, de pâtisserie ou de biscuiterie</v>
      </c>
      <c r="C2481">
        <v>5000000</v>
      </c>
      <c r="D2481">
        <v>3080</v>
      </c>
    </row>
    <row r="2482" spans="1:4" x14ac:dyDescent="0.25">
      <c r="A2482" t="str">
        <f>T("   841810")</f>
        <v xml:space="preserve">   841810</v>
      </c>
      <c r="B2482" t="str">
        <f>T("   Réfrigérateurs et congélateurs-conservateurs combinés, avec portes extérieures séparées")</f>
        <v xml:space="preserve">   Réfrigérateurs et congélateurs-conservateurs combinés, avec portes extérieures séparées</v>
      </c>
      <c r="C2482">
        <v>111077833</v>
      </c>
      <c r="D2482">
        <v>124166</v>
      </c>
    </row>
    <row r="2483" spans="1:4" x14ac:dyDescent="0.25">
      <c r="A2483" t="str">
        <f>T("   841821")</f>
        <v xml:space="preserve">   841821</v>
      </c>
      <c r="B2483" t="str">
        <f>T("   Réfrigérateurs ménagers à compression")</f>
        <v xml:space="preserve">   Réfrigérateurs ménagers à compression</v>
      </c>
      <c r="C2483">
        <v>17812149</v>
      </c>
      <c r="D2483">
        <v>19550</v>
      </c>
    </row>
    <row r="2484" spans="1:4" x14ac:dyDescent="0.25">
      <c r="A2484" t="str">
        <f>T("   841822")</f>
        <v xml:space="preserve">   841822</v>
      </c>
      <c r="B2484" t="str">
        <f>T("   Réfrigérateurs ménagers à absorption, électriques")</f>
        <v xml:space="preserve">   Réfrigérateurs ménagers à absorption, électriques</v>
      </c>
      <c r="C2484">
        <v>3422788</v>
      </c>
      <c r="D2484">
        <v>7580</v>
      </c>
    </row>
    <row r="2485" spans="1:4" x14ac:dyDescent="0.25">
      <c r="A2485" t="str">
        <f>T("   841829")</f>
        <v xml:space="preserve">   841829</v>
      </c>
      <c r="B2485" t="str">
        <f>T("   Réfrigérateurs ménagers à absorption, non-électriques")</f>
        <v xml:space="preserve">   Réfrigérateurs ménagers à absorption, non-électriques</v>
      </c>
      <c r="C2485">
        <v>64047020</v>
      </c>
      <c r="D2485">
        <v>94309</v>
      </c>
    </row>
    <row r="2486" spans="1:4" x14ac:dyDescent="0.25">
      <c r="A2486" t="str">
        <f>T("   841830")</f>
        <v xml:space="preserve">   841830</v>
      </c>
      <c r="B2486" t="str">
        <f>T("   Meubles congélateurs-conservateurs du type coffre, capacité &lt;= 800 l")</f>
        <v xml:space="preserve">   Meubles congélateurs-conservateurs du type coffre, capacité &lt;= 800 l</v>
      </c>
      <c r="C2486">
        <v>92775566</v>
      </c>
      <c r="D2486">
        <v>49146</v>
      </c>
    </row>
    <row r="2487" spans="1:4" x14ac:dyDescent="0.25">
      <c r="A2487" t="str">
        <f>T("   841850")</f>
        <v xml:space="preserve">   841850</v>
      </c>
      <c r="B2487" t="s">
        <v>404</v>
      </c>
      <c r="C2487">
        <v>17905086</v>
      </c>
      <c r="D2487">
        <v>11751</v>
      </c>
    </row>
    <row r="2488" spans="1:4" x14ac:dyDescent="0.25">
      <c r="A2488" t="str">
        <f>T("   841869")</f>
        <v xml:space="preserve">   841869</v>
      </c>
      <c r="B2488" t="str">
        <f>T("   Matériel, machines et appareils pour la production du froid ainsi que pompes à chaleur à absorption (autres que réfrigérateurs et meubles congélateurs-conservateurs)")</f>
        <v xml:space="preserve">   Matériel, machines et appareils pour la production du froid ainsi que pompes à chaleur à absorption (autres que réfrigérateurs et meubles congélateurs-conservateurs)</v>
      </c>
      <c r="C2488">
        <v>4839340</v>
      </c>
      <c r="D2488">
        <v>3381</v>
      </c>
    </row>
    <row r="2489" spans="1:4" x14ac:dyDescent="0.25">
      <c r="A2489" t="str">
        <f>T("   841899")</f>
        <v xml:space="preserve">   841899</v>
      </c>
      <c r="B2489" t="str">
        <f>T("   Parties de réfrigérateurs et de congélateurs-conservateurs du type armoire et du type coffre et d'autres matériel, machines et appareils pour la production du froid, parties de pompes à chaleur, n.d.a.")</f>
        <v xml:space="preserve">   Parties de réfrigérateurs et de congélateurs-conservateurs du type armoire et du type coffre et d'autres matériel, machines et appareils pour la production du froid, parties de pompes à chaleur, n.d.a.</v>
      </c>
      <c r="C2489">
        <v>12841202</v>
      </c>
      <c r="D2489">
        <v>20678</v>
      </c>
    </row>
    <row r="2490" spans="1:4" x14ac:dyDescent="0.25">
      <c r="A2490" t="str">
        <f>T("   841911")</f>
        <v xml:space="preserve">   841911</v>
      </c>
      <c r="B2490" t="str">
        <f>T("   Chauffe-eau à chauffage instantané, à gaz (à l'excl. des chaudières ou générateurs mixtes pour chauffage central)")</f>
        <v xml:space="preserve">   Chauffe-eau à chauffage instantané, à gaz (à l'excl. des chaudières ou générateurs mixtes pour chauffage central)</v>
      </c>
      <c r="C2490">
        <v>500000</v>
      </c>
      <c r="D2490">
        <v>330</v>
      </c>
    </row>
    <row r="2491" spans="1:4" x14ac:dyDescent="0.25">
      <c r="A2491" t="str">
        <f>T("   841919")</f>
        <v xml:space="preserve">   841919</v>
      </c>
      <c r="B2491" t="str">
        <f>T("   Chauffe-eau non-électriques, à chauffage instantané ou à accumulation (à l'excl. des chauffe-eau instantanés à gaz et des chaudières ou générateurs mixtes pour chauffage central)")</f>
        <v xml:space="preserve">   Chauffe-eau non-électriques, à chauffage instantané ou à accumulation (à l'excl. des chauffe-eau instantanés à gaz et des chaudières ou générateurs mixtes pour chauffage central)</v>
      </c>
      <c r="C2491">
        <v>5905025</v>
      </c>
      <c r="D2491">
        <v>9188</v>
      </c>
    </row>
    <row r="2492" spans="1:4" x14ac:dyDescent="0.25">
      <c r="A2492" t="str">
        <f>T("   842121")</f>
        <v xml:space="preserve">   842121</v>
      </c>
      <c r="B2492" t="str">
        <f>T("   Appareils pour la filtration ou l'épuration des eaux")</f>
        <v xml:space="preserve">   Appareils pour la filtration ou l'épuration des eaux</v>
      </c>
      <c r="C2492">
        <v>917224</v>
      </c>
      <c r="D2492">
        <v>2199</v>
      </c>
    </row>
    <row r="2493" spans="1:4" x14ac:dyDescent="0.25">
      <c r="A2493" t="str">
        <f>T("   842123")</f>
        <v xml:space="preserve">   842123</v>
      </c>
      <c r="B2493" t="str">
        <f>T("   Appareils pour la filtration des huiles minérales et carburants pour les moteurs à allumage par étincelles ou par compression")</f>
        <v xml:space="preserve">   Appareils pour la filtration des huiles minérales et carburants pour les moteurs à allumage par étincelles ou par compression</v>
      </c>
      <c r="C2493">
        <v>3609194</v>
      </c>
      <c r="D2493">
        <v>6501</v>
      </c>
    </row>
    <row r="2494" spans="1:4" x14ac:dyDescent="0.25">
      <c r="A2494" t="str">
        <f>T("   842131")</f>
        <v xml:space="preserve">   842131</v>
      </c>
      <c r="B2494" t="str">
        <f>T("   Filtres d'entrée d'air pour moteurs à allumage par étincelles ou par compression")</f>
        <v xml:space="preserve">   Filtres d'entrée d'air pour moteurs à allumage par étincelles ou par compression</v>
      </c>
      <c r="C2494">
        <v>238577</v>
      </c>
      <c r="D2494">
        <v>20.5</v>
      </c>
    </row>
    <row r="2495" spans="1:4" x14ac:dyDescent="0.25">
      <c r="A2495" t="str">
        <f>T("   842139")</f>
        <v xml:space="preserve">   842139</v>
      </c>
      <c r="B2495" t="str">
        <f>T("   Appareils pour la filtration ou l'épuration des gaz (autres que pour la séparation isotopique et sauf les filtres d'entrée d'air pour moteurs à allumage par étincelles ou par compression)")</f>
        <v xml:space="preserve">   Appareils pour la filtration ou l'épuration des gaz (autres que pour la séparation isotopique et sauf les filtres d'entrée d'air pour moteurs à allumage par étincelles ou par compression)</v>
      </c>
      <c r="C2495">
        <v>124140626</v>
      </c>
      <c r="D2495">
        <v>101211</v>
      </c>
    </row>
    <row r="2496" spans="1:4" x14ac:dyDescent="0.25">
      <c r="A2496" t="str">
        <f>T("   842199")</f>
        <v xml:space="preserve">   842199</v>
      </c>
      <c r="B2496" t="str">
        <f>T("   Parties d'appareils pour la filtration ou l'épuration des liquides ou des gaz, n.d.a.")</f>
        <v xml:space="preserve">   Parties d'appareils pour la filtration ou l'épuration des liquides ou des gaz, n.d.a.</v>
      </c>
      <c r="C2496">
        <v>947003</v>
      </c>
      <c r="D2496">
        <v>56</v>
      </c>
    </row>
    <row r="2497" spans="1:4" x14ac:dyDescent="0.25">
      <c r="A2497" t="str">
        <f>T("   842211")</f>
        <v xml:space="preserve">   842211</v>
      </c>
      <c r="B2497" t="str">
        <f>T("   Machines à laver la vaisselle, de type ménager")</f>
        <v xml:space="preserve">   Machines à laver la vaisselle, de type ménager</v>
      </c>
      <c r="C2497">
        <v>205895</v>
      </c>
      <c r="D2497">
        <v>283</v>
      </c>
    </row>
    <row r="2498" spans="1:4" x14ac:dyDescent="0.25">
      <c r="A2498" t="str">
        <f>T("   842220")</f>
        <v xml:space="preserve">   842220</v>
      </c>
      <c r="B2498" t="str">
        <f>T("   Machines et appareils à nettoyer ou à sécher les bouteilles ou autres récipients (à l'excl. des machines à laver la vaisselle)")</f>
        <v xml:space="preserve">   Machines et appareils à nettoyer ou à sécher les bouteilles ou autres récipients (à l'excl. des machines à laver la vaisselle)</v>
      </c>
      <c r="C2498">
        <v>541666</v>
      </c>
      <c r="D2498">
        <v>75</v>
      </c>
    </row>
    <row r="2499" spans="1:4" x14ac:dyDescent="0.25">
      <c r="A2499" t="str">
        <f>T("   842230")</f>
        <v xml:space="preserve">   842230</v>
      </c>
      <c r="B2499" t="str">
        <f>T("   Machines et appareils à remplir, fermer, boucher ou étiqueter les bouteilles, boîtes, sacs ou autres contenants; machines et appareils à capsuler les bouteilles, pots, tubes et contenants analogues; appareils à gazéifier les boissons")</f>
        <v xml:space="preserve">   Machines et appareils à remplir, fermer, boucher ou étiqueter les bouteilles, boîtes, sacs ou autres contenants; machines et appareils à capsuler les bouteilles, pots, tubes et contenants analogues; appareils à gazéifier les boissons</v>
      </c>
      <c r="C2499">
        <v>11401936</v>
      </c>
      <c r="D2499">
        <v>5013</v>
      </c>
    </row>
    <row r="2500" spans="1:4" x14ac:dyDescent="0.25">
      <c r="A2500" t="str">
        <f>T("   842240")</f>
        <v xml:space="preserve">   842240</v>
      </c>
      <c r="B2500" t="s">
        <v>406</v>
      </c>
      <c r="C2500">
        <v>19023897</v>
      </c>
      <c r="D2500">
        <v>5044</v>
      </c>
    </row>
    <row r="2501" spans="1:4" x14ac:dyDescent="0.25">
      <c r="A2501" t="str">
        <f>T("   842290")</f>
        <v xml:space="preserve">   842290</v>
      </c>
      <c r="B2501" t="str">
        <f>T("   Parties des machines à laver la vaisselle, des machines à empaqueter ou à emballer les marchandises et autres machines et appareils du n° 8422, n.d.a.")</f>
        <v xml:space="preserve">   Parties des machines à laver la vaisselle, des machines à empaqueter ou à emballer les marchandises et autres machines et appareils du n° 8422, n.d.a.</v>
      </c>
      <c r="C2501">
        <v>2569795</v>
      </c>
      <c r="D2501">
        <v>900</v>
      </c>
    </row>
    <row r="2502" spans="1:4" x14ac:dyDescent="0.25">
      <c r="A2502" t="str">
        <f>T("   842310")</f>
        <v xml:space="preserve">   842310</v>
      </c>
      <c r="B2502" t="str">
        <f>T("   Pèse-personnes, y.c. les pèse-bébés; balances de ménage")</f>
        <v xml:space="preserve">   Pèse-personnes, y.c. les pèse-bébés; balances de ménage</v>
      </c>
      <c r="C2502">
        <v>335373</v>
      </c>
      <c r="D2502">
        <v>1308</v>
      </c>
    </row>
    <row r="2503" spans="1:4" x14ac:dyDescent="0.25">
      <c r="A2503" t="str">
        <f>T("   842381")</f>
        <v xml:space="preserve">   842381</v>
      </c>
      <c r="B2503" t="s">
        <v>407</v>
      </c>
      <c r="C2503">
        <v>5183648</v>
      </c>
      <c r="D2503">
        <v>5205</v>
      </c>
    </row>
    <row r="2504" spans="1:4" x14ac:dyDescent="0.25">
      <c r="A2504" t="str">
        <f>T("   842382")</f>
        <v xml:space="preserve">   842382</v>
      </c>
      <c r="B2504" t="str">
        <f>T("   Appareils et instruments de pesage, portée &gt; 30 kg mais &lt;= 5000 kg (à l'excl. des pèse-personnes, bascules à pesage continu sur transporteurs, bascules à pesées constantes et balances et bascules ensacheuses ou doseuses)")</f>
        <v xml:space="preserve">   Appareils et instruments de pesage, portée &gt; 30 kg mais &lt;= 5000 kg (à l'excl. des pèse-personnes, bascules à pesage continu sur transporteurs, bascules à pesées constantes et balances et bascules ensacheuses ou doseuses)</v>
      </c>
      <c r="C2504">
        <v>244469</v>
      </c>
      <c r="D2504">
        <v>390</v>
      </c>
    </row>
    <row r="2505" spans="1:4" x14ac:dyDescent="0.25">
      <c r="A2505" t="str">
        <f>T("   842389")</f>
        <v xml:space="preserve">   842389</v>
      </c>
      <c r="B2505" t="str">
        <f>T("   Appareils et instruments de pesage, portée &gt; 5000 kg")</f>
        <v xml:space="preserve">   Appareils et instruments de pesage, portée &gt; 5000 kg</v>
      </c>
      <c r="C2505">
        <v>3482757</v>
      </c>
      <c r="D2505">
        <v>6527</v>
      </c>
    </row>
    <row r="2506" spans="1:4" x14ac:dyDescent="0.25">
      <c r="A2506" t="str">
        <f>T("   842481")</f>
        <v xml:space="preserve">   842481</v>
      </c>
      <c r="B2506" t="str">
        <f>T("   Machines et appareils mécaniques, même à main, à projeter, disperser ou pulvériser des matières liquides ou en poudre, pour l'agriculture ou l'horticulture")</f>
        <v xml:space="preserve">   Machines et appareils mécaniques, même à main, à projeter, disperser ou pulvériser des matières liquides ou en poudre, pour l'agriculture ou l'horticulture</v>
      </c>
      <c r="C2506">
        <v>13855921</v>
      </c>
      <c r="D2506">
        <v>22658</v>
      </c>
    </row>
    <row r="2507" spans="1:4" x14ac:dyDescent="0.25">
      <c r="A2507" t="str">
        <f>T("   842489")</f>
        <v xml:space="preserve">   842489</v>
      </c>
      <c r="B2507" t="str">
        <f>T("   Machines et appareils mécaniques, même à main, à projeter, disperser ou pulvériser des matières liquides ou en poudre, n.d.a.")</f>
        <v xml:space="preserve">   Machines et appareils mécaniques, même à main, à projeter, disperser ou pulvériser des matières liquides ou en poudre, n.d.a.</v>
      </c>
      <c r="C2507">
        <v>189344</v>
      </c>
      <c r="D2507">
        <v>800</v>
      </c>
    </row>
    <row r="2508" spans="1:4" x14ac:dyDescent="0.25">
      <c r="A2508" t="str">
        <f>T("   842490")</f>
        <v xml:space="preserve">   842490</v>
      </c>
      <c r="B2508" t="s">
        <v>410</v>
      </c>
      <c r="C2508">
        <v>35673</v>
      </c>
      <c r="D2508">
        <v>18</v>
      </c>
    </row>
    <row r="2509" spans="1:4" x14ac:dyDescent="0.25">
      <c r="A2509" t="str">
        <f>T("   842511")</f>
        <v xml:space="preserve">   842511</v>
      </c>
      <c r="B2509" t="str">
        <f>T("   Palans à moteur électrique")</f>
        <v xml:space="preserve">   Palans à moteur électrique</v>
      </c>
      <c r="C2509">
        <v>563538</v>
      </c>
      <c r="D2509">
        <v>320</v>
      </c>
    </row>
    <row r="2510" spans="1:4" x14ac:dyDescent="0.25">
      <c r="A2510" t="str">
        <f>T("   842619")</f>
        <v xml:space="preserve">   842619</v>
      </c>
      <c r="B2510" t="str">
        <f>T("   Ponts roulants, grues portiques, portiques de déchargement et ponts-grues (à l'excl. des ponts roulants et poutres roulantes sur supports fixes, portiques mobiles sur pneumatiques, chariots-cavaliers et grues sur portiques)")</f>
        <v xml:space="preserve">   Ponts roulants, grues portiques, portiques de déchargement et ponts-grues (à l'excl. des ponts roulants et poutres roulantes sur supports fixes, portiques mobiles sur pneumatiques, chariots-cavaliers et grues sur portiques)</v>
      </c>
      <c r="C2510">
        <v>51403717</v>
      </c>
      <c r="D2510">
        <v>36073</v>
      </c>
    </row>
    <row r="2511" spans="1:4" x14ac:dyDescent="0.25">
      <c r="A2511" t="str">
        <f>T("   842699")</f>
        <v xml:space="preserve">   842699</v>
      </c>
      <c r="B2511" t="s">
        <v>411</v>
      </c>
      <c r="C2511">
        <v>3600000</v>
      </c>
      <c r="D2511">
        <v>4300</v>
      </c>
    </row>
    <row r="2512" spans="1:4" x14ac:dyDescent="0.25">
      <c r="A2512" t="str">
        <f>T("   842710")</f>
        <v xml:space="preserve">   842710</v>
      </c>
      <c r="B2512" t="str">
        <f>T("   Chariots de manutention autopropulsés à moteur électrique, avec dispositif de levage")</f>
        <v xml:space="preserve">   Chariots de manutention autopropulsés à moteur électrique, avec dispositif de levage</v>
      </c>
      <c r="C2512">
        <v>15806383</v>
      </c>
      <c r="D2512">
        <v>4300</v>
      </c>
    </row>
    <row r="2513" spans="1:4" x14ac:dyDescent="0.25">
      <c r="A2513" t="str">
        <f>T("   842720")</f>
        <v xml:space="preserve">   842720</v>
      </c>
      <c r="B2513" t="str">
        <f>T("   Chariots de manutention autopropulsés, autres qu'à moteur électrique, avec dispositif de levage")</f>
        <v xml:space="preserve">   Chariots de manutention autopropulsés, autres qu'à moteur électrique, avec dispositif de levage</v>
      </c>
      <c r="C2513">
        <v>24215787</v>
      </c>
      <c r="D2513">
        <v>11310</v>
      </c>
    </row>
    <row r="2514" spans="1:4" x14ac:dyDescent="0.25">
      <c r="A2514" t="str">
        <f>T("   842790")</f>
        <v xml:space="preserve">   842790</v>
      </c>
      <c r="B2514" t="str">
        <f>T("   Chariots de manutention munis d'un dispositif de levage mais non autopropulsés")</f>
        <v xml:space="preserve">   Chariots de manutention munis d'un dispositif de levage mais non autopropulsés</v>
      </c>
      <c r="C2514">
        <v>146336</v>
      </c>
      <c r="D2514">
        <v>390</v>
      </c>
    </row>
    <row r="2515" spans="1:4" x14ac:dyDescent="0.25">
      <c r="A2515" t="str">
        <f>T("   842810")</f>
        <v xml:space="preserve">   842810</v>
      </c>
      <c r="B2515" t="str">
        <f>T("   Ascenseurs et monte-charge")</f>
        <v xml:space="preserve">   Ascenseurs et monte-charge</v>
      </c>
      <c r="C2515">
        <v>11942369</v>
      </c>
      <c r="D2515">
        <v>15749</v>
      </c>
    </row>
    <row r="2516" spans="1:4" x14ac:dyDescent="0.25">
      <c r="A2516" t="str">
        <f>T("   842831")</f>
        <v xml:space="preserve">   842831</v>
      </c>
      <c r="B2516" t="str">
        <f>T("   Appareils élévateurs, transporteurs ou convoyeurs pour marchandises, à action continue, spécialement conçus pour mines au fond ou autres travaux souterrains (à l'excl. des appareils élévateurs ou transporteurs pneumatiques)")</f>
        <v xml:space="preserve">   Appareils élévateurs, transporteurs ou convoyeurs pour marchandises, à action continue, spécialement conçus pour mines au fond ou autres travaux souterrains (à l'excl. des appareils élévateurs ou transporteurs pneumatiques)</v>
      </c>
      <c r="C2516">
        <v>66670394</v>
      </c>
      <c r="D2516">
        <v>50516</v>
      </c>
    </row>
    <row r="2517" spans="1:4" x14ac:dyDescent="0.25">
      <c r="A2517" t="str">
        <f>T("   842839")</f>
        <v xml:space="preserve">   842839</v>
      </c>
      <c r="B2517" t="str">
        <f>T("   Appareils élévateurs, transporteurs ou convoyeurs pour marchandises, à action continue (autres que conçus pour mines au fond ou pour autres travaux souterrains, autres qu'à benne, à bande ou à courroie et autres que pneumatiques)")</f>
        <v xml:space="preserve">   Appareils élévateurs, transporteurs ou convoyeurs pour marchandises, à action continue (autres que conçus pour mines au fond ou pour autres travaux souterrains, autres qu'à benne, à bande ou à courroie et autres que pneumatiques)</v>
      </c>
      <c r="C2517">
        <v>13210407</v>
      </c>
      <c r="D2517">
        <v>7220</v>
      </c>
    </row>
    <row r="2518" spans="1:4" x14ac:dyDescent="0.25">
      <c r="A2518" t="str">
        <f>T("   842890")</f>
        <v xml:space="preserve">   842890</v>
      </c>
      <c r="B2518" t="str">
        <f>T("   Machines et appareils de levage, chargement, déchargement ou manutention, n.d.a.")</f>
        <v xml:space="preserve">   Machines et appareils de levage, chargement, déchargement ou manutention, n.d.a.</v>
      </c>
      <c r="C2518">
        <v>1375845</v>
      </c>
      <c r="D2518">
        <v>1096</v>
      </c>
    </row>
    <row r="2519" spans="1:4" x14ac:dyDescent="0.25">
      <c r="A2519" t="str">
        <f>T("   842911")</f>
        <v xml:space="preserve">   842911</v>
      </c>
      <c r="B2519" t="str">
        <f>T("   Bouteurs 'bulldozers' et bouteurs biais 'angledozers', à chenilles")</f>
        <v xml:space="preserve">   Bouteurs 'bulldozers' et bouteurs biais 'angledozers', à chenilles</v>
      </c>
      <c r="C2519">
        <v>7700000</v>
      </c>
      <c r="D2519">
        <v>19500</v>
      </c>
    </row>
    <row r="2520" spans="1:4" x14ac:dyDescent="0.25">
      <c r="A2520" t="str">
        <f>T("   842919")</f>
        <v xml:space="preserve">   842919</v>
      </c>
      <c r="B2520" t="str">
        <f>T("   Bouteurs 'bulldozers' et bouteurs biais 'angledozers', sur roues")</f>
        <v xml:space="preserve">   Bouteurs 'bulldozers' et bouteurs biais 'angledozers', sur roues</v>
      </c>
      <c r="C2520">
        <v>55604600</v>
      </c>
      <c r="D2520">
        <v>23400</v>
      </c>
    </row>
    <row r="2521" spans="1:4" x14ac:dyDescent="0.25">
      <c r="A2521" t="str">
        <f>T("   842920")</f>
        <v xml:space="preserve">   842920</v>
      </c>
      <c r="B2521" t="str">
        <f>T("   Niveleuses autopropulsées")</f>
        <v xml:space="preserve">   Niveleuses autopropulsées</v>
      </c>
      <c r="C2521">
        <v>83824278</v>
      </c>
      <c r="D2521">
        <v>46900</v>
      </c>
    </row>
    <row r="2522" spans="1:4" x14ac:dyDescent="0.25">
      <c r="A2522" t="str">
        <f>T("   842940")</f>
        <v xml:space="preserve">   842940</v>
      </c>
      <c r="B2522" t="str">
        <f>T("   Rouleaux compresseurs et autres compacteuses, autopropulsés")</f>
        <v xml:space="preserve">   Rouleaux compresseurs et autres compacteuses, autopropulsés</v>
      </c>
      <c r="C2522">
        <v>7188175</v>
      </c>
      <c r="D2522">
        <v>80340</v>
      </c>
    </row>
    <row r="2523" spans="1:4" x14ac:dyDescent="0.25">
      <c r="A2523" t="str">
        <f>T("   842951")</f>
        <v xml:space="preserve">   842951</v>
      </c>
      <c r="B2523" t="str">
        <f>T("   Chargeuses et chargeuses-pelleteuses, à chargement frontal, autopropulsées")</f>
        <v xml:space="preserve">   Chargeuses et chargeuses-pelleteuses, à chargement frontal, autopropulsées</v>
      </c>
      <c r="C2523">
        <v>81718800</v>
      </c>
      <c r="D2523">
        <v>70000</v>
      </c>
    </row>
    <row r="2524" spans="1:4" x14ac:dyDescent="0.25">
      <c r="A2524" t="str">
        <f>T("   842952")</f>
        <v xml:space="preserve">   842952</v>
      </c>
      <c r="B2524" t="str">
        <f>T("   Pelles mécaniques, autopropulsées, dont la superstructure peut effectuer une rotation de 360°")</f>
        <v xml:space="preserve">   Pelles mécaniques, autopropulsées, dont la superstructure peut effectuer une rotation de 360°</v>
      </c>
      <c r="C2524">
        <v>12888283</v>
      </c>
      <c r="D2524">
        <v>6500</v>
      </c>
    </row>
    <row r="2525" spans="1:4" x14ac:dyDescent="0.25">
      <c r="A2525" t="str">
        <f>T("   842959")</f>
        <v xml:space="preserve">   842959</v>
      </c>
      <c r="B2525"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2525">
        <v>17520242</v>
      </c>
      <c r="D2525">
        <v>35000</v>
      </c>
    </row>
    <row r="2526" spans="1:4" x14ac:dyDescent="0.25">
      <c r="A2526" t="str">
        <f>T("   843049")</f>
        <v xml:space="preserve">   843049</v>
      </c>
      <c r="B2526" t="str">
        <f>T("   Machines de sondage ou de forage de la terre, des minéraux ou des minerais non autopropulsées et non hydrauliques (à l'excl. des machines à creuser les tunnels et autres machines à creuser les galeries, et sauf outillage pour emploi à la main)")</f>
        <v xml:space="preserve">   Machines de sondage ou de forage de la terre, des minéraux ou des minerais non autopropulsées et non hydrauliques (à l'excl. des machines à creuser les tunnels et autres machines à creuser les galeries, et sauf outillage pour emploi à la main)</v>
      </c>
      <c r="C2526">
        <v>2869025</v>
      </c>
      <c r="D2526">
        <v>12967</v>
      </c>
    </row>
    <row r="2527" spans="1:4" x14ac:dyDescent="0.25">
      <c r="A2527" t="str">
        <f>T("   843069")</f>
        <v xml:space="preserve">   843069</v>
      </c>
      <c r="B2527" t="str">
        <f>T("   Machines et appareils de terrassement, nivellement, décapage, excavation, compactage, extraction ou forage de la terre, des minéraux ou des minerais, non autopropulsés, n.d.a.")</f>
        <v xml:space="preserve">   Machines et appareils de terrassement, nivellement, décapage, excavation, compactage, extraction ou forage de la terre, des minéraux ou des minerais, non autopropulsés, n.d.a.</v>
      </c>
      <c r="C2527">
        <v>479350</v>
      </c>
      <c r="D2527">
        <v>1500</v>
      </c>
    </row>
    <row r="2528" spans="1:4" x14ac:dyDescent="0.25">
      <c r="A2528" t="str">
        <f>T("   843120")</f>
        <v xml:space="preserve">   843120</v>
      </c>
      <c r="B2528" t="str">
        <f>T("   Parties de chariots-gerbeurs et autres chariots de manutention munis d'un dispositif de levage, n.d.a.")</f>
        <v xml:space="preserve">   Parties de chariots-gerbeurs et autres chariots de manutention munis d'un dispositif de levage, n.d.a.</v>
      </c>
      <c r="C2528">
        <v>46922353</v>
      </c>
      <c r="D2528">
        <v>6037</v>
      </c>
    </row>
    <row r="2529" spans="1:4" x14ac:dyDescent="0.25">
      <c r="A2529" t="str">
        <f>T("   843141")</f>
        <v xml:space="preserve">   843141</v>
      </c>
      <c r="B2529" t="str">
        <f>T("   Godets, bennes, bennes-preneuses, pelles, grappins et pinces pour machines et appareils du n° 8426, 8429 ou 8430")</f>
        <v xml:space="preserve">   Godets, bennes, bennes-preneuses, pelles, grappins et pinces pour machines et appareils du n° 8426, 8429 ou 8430</v>
      </c>
      <c r="C2529">
        <v>18479705</v>
      </c>
      <c r="D2529">
        <v>4915</v>
      </c>
    </row>
    <row r="2530" spans="1:4" x14ac:dyDescent="0.25">
      <c r="A2530" t="str">
        <f>T("   843142")</f>
        <v xml:space="preserve">   843142</v>
      </c>
      <c r="B2530" t="str">
        <f>T("   Lames de bouteurs 'bulldozers' ou de bouteurs biais 'angledozers', n.d.a.")</f>
        <v xml:space="preserve">   Lames de bouteurs 'bulldozers' ou de bouteurs biais 'angledozers', n.d.a.</v>
      </c>
      <c r="C2530">
        <v>1550368</v>
      </c>
      <c r="D2530">
        <v>4180</v>
      </c>
    </row>
    <row r="2531" spans="1:4" x14ac:dyDescent="0.25">
      <c r="A2531" t="str">
        <f>T("   843143")</f>
        <v xml:space="preserve">   843143</v>
      </c>
      <c r="B2531" t="str">
        <f>T("   Parties de machines de sondage ou de forage du n° 8430.41 ou 8430.49, n.d.a.")</f>
        <v xml:space="preserve">   Parties de machines de sondage ou de forage du n° 8430.41 ou 8430.49, n.d.a.</v>
      </c>
      <c r="C2531">
        <v>44658671</v>
      </c>
      <c r="D2531">
        <v>9466</v>
      </c>
    </row>
    <row r="2532" spans="1:4" x14ac:dyDescent="0.25">
      <c r="A2532" t="str">
        <f>T("   843149")</f>
        <v xml:space="preserve">   843149</v>
      </c>
      <c r="B2532" t="str">
        <f>T("   Parties de machines et appareils du n° 8426, 8429 ou 8430, n.d.a.")</f>
        <v xml:space="preserve">   Parties de machines et appareils du n° 8426, 8429 ou 8430, n.d.a.</v>
      </c>
      <c r="C2532">
        <v>18594562</v>
      </c>
      <c r="D2532">
        <v>1727</v>
      </c>
    </row>
    <row r="2533" spans="1:4" x14ac:dyDescent="0.25">
      <c r="A2533" t="str">
        <f>T("   843210")</f>
        <v xml:space="preserve">   843210</v>
      </c>
      <c r="B2533" t="str">
        <f>T("   Charrues pour l'agriculture, la sylviculture ou l'horticulture")</f>
        <v xml:space="preserve">   Charrues pour l'agriculture, la sylviculture ou l'horticulture</v>
      </c>
      <c r="C2533">
        <v>560360</v>
      </c>
      <c r="D2533">
        <v>480</v>
      </c>
    </row>
    <row r="2534" spans="1:4" x14ac:dyDescent="0.25">
      <c r="A2534" t="str">
        <f>T("   843280")</f>
        <v xml:space="preserve">   843280</v>
      </c>
      <c r="B2534" t="s">
        <v>413</v>
      </c>
      <c r="C2534">
        <v>46305210</v>
      </c>
      <c r="D2534">
        <v>26220</v>
      </c>
    </row>
    <row r="2535" spans="1:4" x14ac:dyDescent="0.25">
      <c r="A2535" t="str">
        <f>T("   843290")</f>
        <v xml:space="preserve">   843290</v>
      </c>
      <c r="B2535" t="str">
        <f>T("   Parties de machines, appareils et engins agricoles, sylvicoles ou horticoles pour la préparation ou le travail du sol ou pour la culture, ainsi que de rouleaux pour pelouses ou terrains de sport, n.d.a.")</f>
        <v xml:space="preserve">   Parties de machines, appareils et engins agricoles, sylvicoles ou horticoles pour la préparation ou le travail du sol ou pour la culture, ainsi que de rouleaux pour pelouses ou terrains de sport, n.d.a.</v>
      </c>
      <c r="C2535">
        <v>9586042</v>
      </c>
      <c r="D2535">
        <v>1020</v>
      </c>
    </row>
    <row r="2536" spans="1:4" x14ac:dyDescent="0.25">
      <c r="A2536" t="str">
        <f>T("   843351")</f>
        <v xml:space="preserve">   843351</v>
      </c>
      <c r="B2536" t="str">
        <f>T("   Moissonneuses-batteuses")</f>
        <v xml:space="preserve">   Moissonneuses-batteuses</v>
      </c>
      <c r="C2536">
        <v>16246609</v>
      </c>
      <c r="D2536">
        <v>23320</v>
      </c>
    </row>
    <row r="2537" spans="1:4" x14ac:dyDescent="0.25">
      <c r="A2537" t="str">
        <f>T("   843352")</f>
        <v xml:space="preserve">   843352</v>
      </c>
      <c r="B2537" t="str">
        <f>T("   Machines et appareils pour le battage des produits agricoles (sauf moissonneuses-batteuses)")</f>
        <v xml:space="preserve">   Machines et appareils pour le battage des produits agricoles (sauf moissonneuses-batteuses)</v>
      </c>
      <c r="C2537">
        <v>13874307</v>
      </c>
      <c r="D2537">
        <v>10950</v>
      </c>
    </row>
    <row r="2538" spans="1:4" x14ac:dyDescent="0.25">
      <c r="A2538" t="str">
        <f>T("   843359")</f>
        <v xml:space="preserve">   843359</v>
      </c>
      <c r="B2538" t="s">
        <v>414</v>
      </c>
      <c r="C2538">
        <v>51867463</v>
      </c>
      <c r="D2538">
        <v>16320</v>
      </c>
    </row>
    <row r="2539" spans="1:4" x14ac:dyDescent="0.25">
      <c r="A2539" t="str">
        <f>T("   843420")</f>
        <v xml:space="preserve">   843420</v>
      </c>
      <c r="B2539" t="s">
        <v>415</v>
      </c>
      <c r="C2539">
        <v>1557275</v>
      </c>
      <c r="D2539">
        <v>238</v>
      </c>
    </row>
    <row r="2540" spans="1:4" x14ac:dyDescent="0.25">
      <c r="A2540" t="str">
        <f>T("   843510")</f>
        <v xml:space="preserve">   843510</v>
      </c>
      <c r="B2540" t="s">
        <v>416</v>
      </c>
      <c r="C2540">
        <v>2829487</v>
      </c>
      <c r="D2540">
        <v>1027</v>
      </c>
    </row>
    <row r="2541" spans="1:4" x14ac:dyDescent="0.25">
      <c r="A2541" t="str">
        <f>T("   843590")</f>
        <v xml:space="preserve">   843590</v>
      </c>
      <c r="B2541" t="str">
        <f>T("   Parties de presses et fouloirs et de machines et appareils simil. pour la fabrication du vin, du cidre, des jus de fruits et boissons simil., n.d.a.")</f>
        <v xml:space="preserve">   Parties de presses et fouloirs et de machines et appareils simil. pour la fabrication du vin, du cidre, des jus de fruits et boissons simil., n.d.a.</v>
      </c>
      <c r="C2541">
        <v>757087</v>
      </c>
      <c r="D2541">
        <v>525</v>
      </c>
    </row>
    <row r="2542" spans="1:4" x14ac:dyDescent="0.25">
      <c r="A2542" t="str">
        <f>T("   843610")</f>
        <v xml:space="preserve">   843610</v>
      </c>
      <c r="B2542" t="s">
        <v>417</v>
      </c>
      <c r="C2542">
        <v>2000140</v>
      </c>
      <c r="D2542">
        <v>4500</v>
      </c>
    </row>
    <row r="2543" spans="1:4" x14ac:dyDescent="0.25">
      <c r="A2543" t="str">
        <f>T("   843680")</f>
        <v xml:space="preserve">   843680</v>
      </c>
      <c r="B2543" t="str">
        <f>T("   Machines et appareils pour l'agriculture, la sylviculture, l'horticulture ou l'apiculture, n.d.a.")</f>
        <v xml:space="preserve">   Machines et appareils pour l'agriculture, la sylviculture, l'horticulture ou l'apiculture, n.d.a.</v>
      </c>
      <c r="C2543">
        <v>39238632</v>
      </c>
      <c r="D2543">
        <v>5950</v>
      </c>
    </row>
    <row r="2544" spans="1:4" x14ac:dyDescent="0.25">
      <c r="A2544" t="str">
        <f>T("   843780")</f>
        <v xml:space="preserve">   843780</v>
      </c>
      <c r="B2544" t="s">
        <v>418</v>
      </c>
      <c r="C2544">
        <v>18885000</v>
      </c>
      <c r="D2544">
        <v>27988</v>
      </c>
    </row>
    <row r="2545" spans="1:4" x14ac:dyDescent="0.25">
      <c r="A2545" t="str">
        <f>T("   843790")</f>
        <v xml:space="preserve">   843790</v>
      </c>
      <c r="B2545" t="str">
        <f>T("   Parties de machines et appareils de minoterie ou pour le traitement des céréales ou légumes secs ou pour le nettoyage, le triage ou le criblage des grains ou des légumes secs, n.d.a.")</f>
        <v xml:space="preserve">   Parties de machines et appareils de minoterie ou pour le traitement des céréales ou légumes secs ou pour le nettoyage, le triage ou le criblage des grains ou des légumes secs, n.d.a.</v>
      </c>
      <c r="C2545">
        <v>1247268</v>
      </c>
      <c r="D2545">
        <v>1432</v>
      </c>
    </row>
    <row r="2546" spans="1:4" x14ac:dyDescent="0.25">
      <c r="A2546" t="str">
        <f>T("   843810")</f>
        <v xml:space="preserve">   843810</v>
      </c>
      <c r="B2546" t="s">
        <v>419</v>
      </c>
      <c r="C2546">
        <v>10745000</v>
      </c>
      <c r="D2546">
        <v>10000</v>
      </c>
    </row>
    <row r="2547" spans="1:4" x14ac:dyDescent="0.25">
      <c r="A2547" t="str">
        <f>T("   843830")</f>
        <v xml:space="preserve">   843830</v>
      </c>
      <c r="B2547" t="str">
        <f>T("   Machines et appareils pour la fabrication industrielle de sucre (sauf centrifugeuses et sauf appareils de filtrage, appareils thermiques et appareils de refroidissement)")</f>
        <v xml:space="preserve">   Machines et appareils pour la fabrication industrielle de sucre (sauf centrifugeuses et sauf appareils de filtrage, appareils thermiques et appareils de refroidissement)</v>
      </c>
      <c r="C2547">
        <v>2001286</v>
      </c>
      <c r="D2547">
        <v>1900</v>
      </c>
    </row>
    <row r="2548" spans="1:4" x14ac:dyDescent="0.25">
      <c r="A2548" t="str">
        <f>T("   843850")</f>
        <v xml:space="preserve">   843850</v>
      </c>
      <c r="B2548" t="str">
        <f>T("   Machines et appareils pour le traitement industriel des viandes (sauf appareils de cuisson et autres appareils thermiques ainsi que les installations de refroidissement et de congélation)")</f>
        <v xml:space="preserve">   Machines et appareils pour le traitement industriel des viandes (sauf appareils de cuisson et autres appareils thermiques ainsi que les installations de refroidissement et de congélation)</v>
      </c>
      <c r="C2548">
        <v>453437</v>
      </c>
      <c r="D2548">
        <v>1201</v>
      </c>
    </row>
    <row r="2549" spans="1:4" x14ac:dyDescent="0.25">
      <c r="A2549" t="str">
        <f>T("   843880")</f>
        <v xml:space="preserve">   843880</v>
      </c>
      <c r="B2549" t="str">
        <f>T("   Machines et appareils pour la préparation ou la fabrication industrielles d'aliments ou de boissons, n.d.a.")</f>
        <v xml:space="preserve">   Machines et appareils pour la préparation ou la fabrication industrielles d'aliments ou de boissons, n.d.a.</v>
      </c>
      <c r="C2549">
        <v>171200</v>
      </c>
      <c r="D2549">
        <v>153</v>
      </c>
    </row>
    <row r="2550" spans="1:4" x14ac:dyDescent="0.25">
      <c r="A2550" t="str">
        <f>T("   843890")</f>
        <v xml:space="preserve">   843890</v>
      </c>
      <c r="B2550" t="str">
        <f>T("   Parties des machines et appareils pour le traitement, la préparation ou la fabrication industriels d'aliments ou de boissons, n.d.a.")</f>
        <v xml:space="preserve">   Parties des machines et appareils pour le traitement, la préparation ou la fabrication industriels d'aliments ou de boissons, n.d.a.</v>
      </c>
      <c r="C2550">
        <v>618451850</v>
      </c>
      <c r="D2550">
        <v>113747</v>
      </c>
    </row>
    <row r="2551" spans="1:4" x14ac:dyDescent="0.25">
      <c r="A2551" t="str">
        <f>T("   843991")</f>
        <v xml:space="preserve">   843991</v>
      </c>
      <c r="B2551" t="str">
        <f>T("   Parties de machines et appareils pour la fabrication de la pâte de matières fibreuses cellulosiques, n.d.a.")</f>
        <v xml:space="preserve">   Parties de machines et appareils pour la fabrication de la pâte de matières fibreuses cellulosiques, n.d.a.</v>
      </c>
      <c r="C2551">
        <v>685477</v>
      </c>
      <c r="D2551">
        <v>4</v>
      </c>
    </row>
    <row r="2552" spans="1:4" x14ac:dyDescent="0.25">
      <c r="A2552" t="str">
        <f>T("   843999")</f>
        <v xml:space="preserve">   843999</v>
      </c>
      <c r="B2552" t="str">
        <f>T("   Parties de machines et appareils pour la fabrication ou le finissage de papier ou de carton, n.d.a.")</f>
        <v xml:space="preserve">   Parties de machines et appareils pour la fabrication ou le finissage de papier ou de carton, n.d.a.</v>
      </c>
      <c r="C2552">
        <v>183898597</v>
      </c>
      <c r="D2552">
        <v>71000</v>
      </c>
    </row>
    <row r="2553" spans="1:4" x14ac:dyDescent="0.25">
      <c r="A2553" t="str">
        <f>T("   844010")</f>
        <v xml:space="preserve">   844010</v>
      </c>
      <c r="B2553" t="s">
        <v>421</v>
      </c>
      <c r="C2553">
        <v>1491258</v>
      </c>
      <c r="D2553">
        <v>1551</v>
      </c>
    </row>
    <row r="2554" spans="1:4" x14ac:dyDescent="0.25">
      <c r="A2554" t="str">
        <f>T("   844110")</f>
        <v xml:space="preserve">   844110</v>
      </c>
      <c r="B2554" t="str">
        <f>T("   Coupeuses pour le travail de la pâte à papier, du papier ou du carton (sauf machines et appareils pour le brochage ou la reliure)")</f>
        <v xml:space="preserve">   Coupeuses pour le travail de la pâte à papier, du papier ou du carton (sauf machines et appareils pour le brochage ou la reliure)</v>
      </c>
      <c r="C2554">
        <v>311693</v>
      </c>
      <c r="D2554">
        <v>223</v>
      </c>
    </row>
    <row r="2555" spans="1:4" x14ac:dyDescent="0.25">
      <c r="A2555" t="str">
        <f>T("   844120")</f>
        <v xml:space="preserve">   844120</v>
      </c>
      <c r="B2555" t="str">
        <f>T("   Machines pour la fabrication de sacs, sachets ou enveloppes en pâte à papier, papier ou carton (sauf machines à coudre et machines à placer les oeillets)")</f>
        <v xml:space="preserve">   Machines pour la fabrication de sacs, sachets ou enveloppes en pâte à papier, papier ou carton (sauf machines à coudre et machines à placer les oeillets)</v>
      </c>
      <c r="C2555">
        <v>77580</v>
      </c>
      <c r="D2555">
        <v>1200</v>
      </c>
    </row>
    <row r="2556" spans="1:4" x14ac:dyDescent="0.25">
      <c r="A2556" t="str">
        <f>T("   844180")</f>
        <v xml:space="preserve">   844180</v>
      </c>
      <c r="B2556" t="str">
        <f>T("   Machines et appareils pour le travail de la pâte à papier, du papier ou du carton, n.d.a.")</f>
        <v xml:space="preserve">   Machines et appareils pour le travail de la pâte à papier, du papier ou du carton, n.d.a.</v>
      </c>
      <c r="C2556">
        <v>33686882</v>
      </c>
      <c r="D2556">
        <v>5053</v>
      </c>
    </row>
    <row r="2557" spans="1:4" x14ac:dyDescent="0.25">
      <c r="A2557" t="str">
        <f>T("   844190")</f>
        <v xml:space="preserve">   844190</v>
      </c>
      <c r="B2557" t="str">
        <f>T("   Parties de machines et appareils pour le travail de la pâte à papier, du papier ou du carton, n.d.a.")</f>
        <v xml:space="preserve">   Parties de machines et appareils pour le travail de la pâte à papier, du papier ou du carton, n.d.a.</v>
      </c>
      <c r="C2557">
        <v>8391051</v>
      </c>
      <c r="D2557">
        <v>3000</v>
      </c>
    </row>
    <row r="2558" spans="1:4" x14ac:dyDescent="0.25">
      <c r="A2558" t="str">
        <f>T("   844319")</f>
        <v xml:space="preserve">   844319</v>
      </c>
      <c r="B2558" t="s">
        <v>423</v>
      </c>
      <c r="C2558">
        <v>1103943</v>
      </c>
      <c r="D2558">
        <v>800</v>
      </c>
    </row>
    <row r="2559" spans="1:4" x14ac:dyDescent="0.25">
      <c r="A2559" t="str">
        <f>T("   844359")</f>
        <v xml:space="preserve">   844359</v>
      </c>
      <c r="B2559" t="s">
        <v>424</v>
      </c>
      <c r="C2559">
        <v>34340</v>
      </c>
      <c r="D2559">
        <v>17</v>
      </c>
    </row>
    <row r="2560" spans="1:4" x14ac:dyDescent="0.25">
      <c r="A2560" t="str">
        <f>T("   844390")</f>
        <v xml:space="preserve">   844390</v>
      </c>
      <c r="B2560" t="str">
        <f>T("   Parties de machines et appareils à imprimer et de leur machines et appareils auxiliaires, n.d.a.")</f>
        <v xml:space="preserve">   Parties de machines et appareils à imprimer et de leur machines et appareils auxiliaires, n.d.a.</v>
      </c>
      <c r="C2560">
        <v>3026875</v>
      </c>
      <c r="D2560">
        <v>6081</v>
      </c>
    </row>
    <row r="2561" spans="1:4" x14ac:dyDescent="0.25">
      <c r="A2561" t="str">
        <f>T("   844819")</f>
        <v xml:space="preserve">   844819</v>
      </c>
      <c r="B2561" t="str">
        <f>T("   Machines et appareils auxiliaires pour machines du n° 8444, 8445, 8446 ou 8447 (sauf ratières -mécaniques d'armes- et mécaniques Jacquard, réducteurs, perforatrices et copieuses de cartons, machines à lacer les cartons après perforation)")</f>
        <v xml:space="preserve">   Machines et appareils auxiliaires pour machines du n° 8444, 8445, 8446 ou 8447 (sauf ratières -mécaniques d'armes- et mécaniques Jacquard, réducteurs, perforatrices et copieuses de cartons, machines à lacer les cartons après perforation)</v>
      </c>
      <c r="C2561">
        <v>403878</v>
      </c>
      <c r="D2561">
        <v>960</v>
      </c>
    </row>
    <row r="2562" spans="1:4" x14ac:dyDescent="0.25">
      <c r="A2562" t="str">
        <f>T("   844820")</f>
        <v xml:space="preserve">   844820</v>
      </c>
      <c r="B2562" t="str">
        <f>T("   Parties et accessoires des machines pour le filage -extrusion-, l'étirage, la texturation ou le tranchage des matières textiles synthétiques ou artificielles ou de leurs machines et appareils auxiliaires, n.d.a.")</f>
        <v xml:space="preserve">   Parties et accessoires des machines pour le filage -extrusion-, l'étirage, la texturation ou le tranchage des matières textiles synthétiques ou artificielles ou de leurs machines et appareils auxiliaires, n.d.a.</v>
      </c>
      <c r="C2562">
        <v>1449922</v>
      </c>
      <c r="D2562">
        <v>1600</v>
      </c>
    </row>
    <row r="2563" spans="1:4" x14ac:dyDescent="0.25">
      <c r="A2563" t="str">
        <f>T("   844839")</f>
        <v xml:space="preserve">   844839</v>
      </c>
      <c r="B2563" t="str">
        <f>T("   Parties et accessoires des machines du n° 8445, n.d.a.")</f>
        <v xml:space="preserve">   Parties et accessoires des machines du n° 8445, n.d.a.</v>
      </c>
      <c r="C2563">
        <v>26747511</v>
      </c>
      <c r="D2563">
        <v>9555</v>
      </c>
    </row>
    <row r="2564" spans="1:4" x14ac:dyDescent="0.25">
      <c r="A2564" t="str">
        <f>T("   845019")</f>
        <v xml:space="preserve">   845019</v>
      </c>
      <c r="B2564" t="str">
        <f>T("   Machines à laver le linge d'une capacité unitaire exprimée en poids de linge sec &lt;= 6 kg (à l'excl. des machines entièrement automatiques et des machines à laver le linge avec essoreuse centrifuge incorporée)")</f>
        <v xml:space="preserve">   Machines à laver le linge d'une capacité unitaire exprimée en poids de linge sec &lt;= 6 kg (à l'excl. des machines entièrement automatiques et des machines à laver le linge avec essoreuse centrifuge incorporée)</v>
      </c>
      <c r="C2564">
        <v>2385534</v>
      </c>
      <c r="D2564">
        <v>1716</v>
      </c>
    </row>
    <row r="2565" spans="1:4" x14ac:dyDescent="0.25">
      <c r="A2565" t="str">
        <f>T("   845140")</f>
        <v xml:space="preserve">   845140</v>
      </c>
      <c r="B2565" t="str">
        <f>T("   Machines et appareils pour le lavage, le blanchiment ou la teinture de fils, tissus ou autres ouvrages en matières textiles (sauf machines à laver le linge)")</f>
        <v xml:space="preserve">   Machines et appareils pour le lavage, le blanchiment ou la teinture de fils, tissus ou autres ouvrages en matières textiles (sauf machines à laver le linge)</v>
      </c>
      <c r="C2565">
        <v>62064</v>
      </c>
      <c r="D2565">
        <v>40</v>
      </c>
    </row>
    <row r="2566" spans="1:4" x14ac:dyDescent="0.25">
      <c r="A2566" t="str">
        <f>T("   845180")</f>
        <v xml:space="preserve">   845180</v>
      </c>
      <c r="B2566" t="s">
        <v>426</v>
      </c>
      <c r="C2566">
        <v>150037</v>
      </c>
      <c r="D2566">
        <v>70</v>
      </c>
    </row>
    <row r="2567" spans="1:4" x14ac:dyDescent="0.25">
      <c r="A2567" t="str">
        <f>T("   845210")</f>
        <v xml:space="preserve">   845210</v>
      </c>
      <c r="B2567" t="str">
        <f>T("   Machines à coudre de type ménager")</f>
        <v xml:space="preserve">   Machines à coudre de type ménager</v>
      </c>
      <c r="C2567">
        <v>220326507</v>
      </c>
      <c r="D2567">
        <v>384477</v>
      </c>
    </row>
    <row r="2568" spans="1:4" x14ac:dyDescent="0.25">
      <c r="A2568" t="str">
        <f>T("   845230")</f>
        <v xml:space="preserve">   845230</v>
      </c>
      <c r="B2568" t="str">
        <f>T("   Aiguilles pour machines à coudre")</f>
        <v xml:space="preserve">   Aiguilles pour machines à coudre</v>
      </c>
      <c r="C2568">
        <v>3999277</v>
      </c>
      <c r="D2568">
        <v>18717</v>
      </c>
    </row>
    <row r="2569" spans="1:4" x14ac:dyDescent="0.25">
      <c r="A2569" t="str">
        <f>T("   846190")</f>
        <v xml:space="preserve">   846190</v>
      </c>
      <c r="B2569" t="str">
        <f>T("   Machines à raboter et autres machines-outils travaillant par enlèvement de métal, n.d.a.")</f>
        <v xml:space="preserve">   Machines à raboter et autres machines-outils travaillant par enlèvement de métal, n.d.a.</v>
      </c>
      <c r="C2569">
        <v>1219171</v>
      </c>
      <c r="D2569">
        <v>10189</v>
      </c>
    </row>
    <row r="2570" spans="1:4" x14ac:dyDescent="0.25">
      <c r="A2570" t="str">
        <f>T("   846229")</f>
        <v xml:space="preserve">   846229</v>
      </c>
      <c r="B2570" t="str">
        <f>T("   Machines, y.c. -les presses-, à rouler, cintrer, plier, dresser ou planer, pour le travail des métaux (autres qu'à commande numérique)")</f>
        <v xml:space="preserve">   Machines, y.c. -les presses-, à rouler, cintrer, plier, dresser ou planer, pour le travail des métaux (autres qu'à commande numérique)</v>
      </c>
      <c r="C2570">
        <v>7540872</v>
      </c>
      <c r="D2570">
        <v>24525</v>
      </c>
    </row>
    <row r="2571" spans="1:4" x14ac:dyDescent="0.25">
      <c r="A2571" t="str">
        <f>T("   846241")</f>
        <v xml:space="preserve">   846241</v>
      </c>
      <c r="B2571" t="str">
        <f>T("   Machines, y.c. -les presses-, à poinçonner ou à gruger, y.c. les machines combinées à poinçonner et à cisailler, à commande numérique, pour le travail des métaux")</f>
        <v xml:space="preserve">   Machines, y.c. -les presses-, à poinçonner ou à gruger, y.c. les machines combinées à poinçonner et à cisailler, à commande numérique, pour le travail des métaux</v>
      </c>
      <c r="C2571">
        <v>881524</v>
      </c>
      <c r="D2571">
        <v>226</v>
      </c>
    </row>
    <row r="2572" spans="1:4" x14ac:dyDescent="0.25">
      <c r="A2572" t="str">
        <f>T("   846249")</f>
        <v xml:space="preserve">   846249</v>
      </c>
      <c r="B2572" t="str">
        <f>T("   MACHINES, Y.C. -LES PRESSES-, À POINÇONNER OU À GRUGER, Y.C. LES MACHINES COMBINÉES À POINÇONNER ET À CISAILLER, POUR LE TRAVAIL DES MÉTAUX (AUTRES QU'À COMMANDE NUMÉRIQUE)")</f>
        <v xml:space="preserve">   MACHINES, Y.C. -LES PRESSES-, À POINÇONNER OU À GRUGER, Y.C. LES MACHINES COMBINÉES À POINÇONNER ET À CISAILLER, POUR LE TRAVAIL DES MÉTAUX (AUTRES QU'À COMMANDE NUMÉRIQUE)</v>
      </c>
      <c r="C2572">
        <v>1000000</v>
      </c>
      <c r="D2572">
        <v>2499</v>
      </c>
    </row>
    <row r="2573" spans="1:4" x14ac:dyDescent="0.25">
      <c r="A2573" t="str">
        <f>T("   846291")</f>
        <v xml:space="preserve">   846291</v>
      </c>
      <c r="B2573" t="str">
        <f>T("   Presses hydrauliques pour le travail des métaux ou des carbures métalliques (à l'excl. des presses à forger, à rouler, à cintrer, à dresses ou à planer)")</f>
        <v xml:space="preserve">   Presses hydrauliques pour le travail des métaux ou des carbures métalliques (à l'excl. des presses à forger, à rouler, à cintrer, à dresses ou à planer)</v>
      </c>
      <c r="C2573">
        <v>200369</v>
      </c>
      <c r="D2573">
        <v>2302</v>
      </c>
    </row>
    <row r="2574" spans="1:4" x14ac:dyDescent="0.25">
      <c r="A2574" t="str">
        <f>T("   846410")</f>
        <v xml:space="preserve">   846410</v>
      </c>
      <c r="B2574" t="str">
        <f>T("   Machines à scier pour le travail de la pierre, des produits céramiques, du béton, de l'amiante-ciment ou de matières minérales simil., ou pour le travail à froid du verre (à l'excl. des machines pour emploi à la main)")</f>
        <v xml:space="preserve">   Machines à scier pour le travail de la pierre, des produits céramiques, du béton, de l'amiante-ciment ou de matières minérales simil., ou pour le travail à froid du verre (à l'excl. des machines pour emploi à la main)</v>
      </c>
      <c r="C2574">
        <v>14886214</v>
      </c>
      <c r="D2574">
        <v>20600</v>
      </c>
    </row>
    <row r="2575" spans="1:4" x14ac:dyDescent="0.25">
      <c r="A2575" t="str">
        <f>T("   846490")</f>
        <v xml:space="preserve">   846490</v>
      </c>
      <c r="B2575" t="s">
        <v>431</v>
      </c>
      <c r="C2575">
        <v>3420636</v>
      </c>
      <c r="D2575">
        <v>6300</v>
      </c>
    </row>
    <row r="2576" spans="1:4" x14ac:dyDescent="0.25">
      <c r="A2576" t="str">
        <f>T("   846591")</f>
        <v xml:space="preserve">   846591</v>
      </c>
      <c r="B2576" t="str">
        <f>T("   Machines à scier, pour le travail du bois, des matières plastiques dures, etc. (autres que pour emploi à la main)")</f>
        <v xml:space="preserve">   Machines à scier, pour le travail du bois, des matières plastiques dures, etc. (autres que pour emploi à la main)</v>
      </c>
      <c r="C2576">
        <v>4375028</v>
      </c>
      <c r="D2576">
        <v>11680</v>
      </c>
    </row>
    <row r="2577" spans="1:4" x14ac:dyDescent="0.25">
      <c r="A2577" t="str">
        <f>T("   846599")</f>
        <v xml:space="preserve">   846599</v>
      </c>
      <c r="B2577" t="s">
        <v>434</v>
      </c>
      <c r="C2577">
        <v>41100907</v>
      </c>
      <c r="D2577">
        <v>54344</v>
      </c>
    </row>
    <row r="2578" spans="1:4" x14ac:dyDescent="0.25">
      <c r="A2578" t="str">
        <f>T("   846692")</f>
        <v xml:space="preserve">   846692</v>
      </c>
      <c r="B2578" t="str">
        <f>T("   Parties et accessoires pour machines-outils pour le travail du bois, des matières plastiques dures, etc., n.d.a.")</f>
        <v xml:space="preserve">   Parties et accessoires pour machines-outils pour le travail du bois, des matières plastiques dures, etc., n.d.a.</v>
      </c>
      <c r="C2578">
        <v>17000000</v>
      </c>
      <c r="D2578">
        <v>27448</v>
      </c>
    </row>
    <row r="2579" spans="1:4" x14ac:dyDescent="0.25">
      <c r="A2579" t="str">
        <f>T("   846693")</f>
        <v xml:space="preserve">   846693</v>
      </c>
      <c r="B2579" t="str">
        <f>T("   Parties et accessoires pour machines-outils pour le travail du métal avec enlèvement de métal, n.d.a.")</f>
        <v xml:space="preserve">   Parties et accessoires pour machines-outils pour le travail du métal avec enlèvement de métal, n.d.a.</v>
      </c>
      <c r="C2579">
        <v>524409</v>
      </c>
      <c r="D2579">
        <v>1500</v>
      </c>
    </row>
    <row r="2580" spans="1:4" x14ac:dyDescent="0.25">
      <c r="A2580" t="str">
        <f>T("   846719")</f>
        <v xml:space="preserve">   846719</v>
      </c>
      <c r="B2580" t="str">
        <f>T("   OUTILS PNEUMATIQUES, POUR EMPLOI À LA MAIN (À L'EXCL. DES OUTILS ROTATIFS) [01/01/1988-31/12/1994: OUTILS PNEUMATIQUES POUR EMPLOI A LA MAIN, AUTRES QUE ROTATIFS]")</f>
        <v xml:space="preserve">   OUTILS PNEUMATIQUES, POUR EMPLOI À LA MAIN (À L'EXCL. DES OUTILS ROTATIFS) [01/01/1988-31/12/1994: OUTILS PNEUMATIQUES POUR EMPLOI A LA MAIN, AUTRES QUE ROTATIFS]</v>
      </c>
      <c r="C2580">
        <v>2139536</v>
      </c>
      <c r="D2580">
        <v>2307</v>
      </c>
    </row>
    <row r="2581" spans="1:4" x14ac:dyDescent="0.25">
      <c r="A2581" t="str">
        <f>T("   846722")</f>
        <v xml:space="preserve">   846722</v>
      </c>
      <c r="B2581" t="str">
        <f>T("   Scies et tronçonneuses, à moteur électrique incorporé, pour emploi à la main")</f>
        <v xml:space="preserve">   Scies et tronçonneuses, à moteur électrique incorporé, pour emploi à la main</v>
      </c>
      <c r="C2581">
        <v>728612</v>
      </c>
      <c r="D2581">
        <v>320</v>
      </c>
    </row>
    <row r="2582" spans="1:4" x14ac:dyDescent="0.25">
      <c r="A2582" t="str">
        <f>T("   847010")</f>
        <v xml:space="preserve">   847010</v>
      </c>
      <c r="B2582" t="s">
        <v>435</v>
      </c>
      <c r="C2582">
        <v>377274</v>
      </c>
      <c r="D2582">
        <v>8560</v>
      </c>
    </row>
    <row r="2583" spans="1:4" x14ac:dyDescent="0.25">
      <c r="A2583" t="str">
        <f>T("   847029")</f>
        <v xml:space="preserve">   847029</v>
      </c>
      <c r="B2583" t="str">
        <f>T("   Machines à calculer électroniques sans organe imprimant, raccordées au réseau (à l'excl. des machines automatiques de traitement de l'information du n° 8471)")</f>
        <v xml:space="preserve">   Machines à calculer électroniques sans organe imprimant, raccordées au réseau (à l'excl. des machines automatiques de traitement de l'information du n° 8471)</v>
      </c>
      <c r="C2583">
        <v>1098979</v>
      </c>
      <c r="D2583">
        <v>2130</v>
      </c>
    </row>
    <row r="2584" spans="1:4" x14ac:dyDescent="0.25">
      <c r="A2584" t="str">
        <f>T("   847030")</f>
        <v xml:space="preserve">   847030</v>
      </c>
      <c r="B2584" t="str">
        <f>T("   Machines à calculer autres qu'électroniques")</f>
        <v xml:space="preserve">   Machines à calculer autres qu'électroniques</v>
      </c>
      <c r="C2584">
        <v>1110000</v>
      </c>
      <c r="D2584">
        <v>3139</v>
      </c>
    </row>
    <row r="2585" spans="1:4" x14ac:dyDescent="0.25">
      <c r="A2585" t="str">
        <f>T("   847050")</f>
        <v xml:space="preserve">   847050</v>
      </c>
      <c r="B2585" t="str">
        <f>T("   Caisses enregistreuses comportant un dispositif de calcul")</f>
        <v xml:space="preserve">   Caisses enregistreuses comportant un dispositif de calcul</v>
      </c>
      <c r="C2585">
        <v>427101</v>
      </c>
      <c r="D2585">
        <v>306</v>
      </c>
    </row>
    <row r="2586" spans="1:4" x14ac:dyDescent="0.25">
      <c r="A2586" t="str">
        <f>T("   847110")</f>
        <v xml:space="preserve">   847110</v>
      </c>
      <c r="B2586" t="str">
        <f>T("   Machines automatiques de traitement de l'information, analogiques ou hybrides")</f>
        <v xml:space="preserve">   Machines automatiques de traitement de l'information, analogiques ou hybrides</v>
      </c>
      <c r="C2586">
        <v>514338</v>
      </c>
      <c r="D2586">
        <v>483</v>
      </c>
    </row>
    <row r="2587" spans="1:4" x14ac:dyDescent="0.25">
      <c r="A2587" t="str">
        <f>T("   847130")</f>
        <v xml:space="preserve">   847130</v>
      </c>
      <c r="B2587" t="str">
        <f>T("   Machines automatiques de traitement de l'information numériques, portatives, d'un poids &lt;= 10 kg, comportant au moins une unité centrale de traitement, un clavier et un écran (à l'excl. des unités périphériques)")</f>
        <v xml:space="preserve">   Machines automatiques de traitement de l'information numériques, portatives, d'un poids &lt;= 10 kg, comportant au moins une unité centrale de traitement, un clavier et un écran (à l'excl. des unités périphériques)</v>
      </c>
      <c r="C2587">
        <v>32861662</v>
      </c>
      <c r="D2587">
        <v>11846</v>
      </c>
    </row>
    <row r="2588" spans="1:4" x14ac:dyDescent="0.25">
      <c r="A2588" t="str">
        <f>T("   847141")</f>
        <v xml:space="preserve">   847141</v>
      </c>
      <c r="B2588" t="s">
        <v>436</v>
      </c>
      <c r="C2588">
        <v>6127618</v>
      </c>
      <c r="D2588">
        <v>2584</v>
      </c>
    </row>
    <row r="2589" spans="1:4" x14ac:dyDescent="0.25">
      <c r="A2589" t="str">
        <f>T("   847149")</f>
        <v xml:space="preserve">   847149</v>
      </c>
      <c r="B2589" t="s">
        <v>437</v>
      </c>
      <c r="C2589">
        <v>7458207</v>
      </c>
      <c r="D2589">
        <v>11749</v>
      </c>
    </row>
    <row r="2590" spans="1:4" x14ac:dyDescent="0.25">
      <c r="A2590" t="str">
        <f>T("   847150")</f>
        <v xml:space="preserve">   847150</v>
      </c>
      <c r="B2590" t="s">
        <v>438</v>
      </c>
      <c r="C2590">
        <v>62212056</v>
      </c>
      <c r="D2590">
        <v>3183</v>
      </c>
    </row>
    <row r="2591" spans="1:4" x14ac:dyDescent="0.25">
      <c r="A2591" t="str">
        <f>T("   847160")</f>
        <v xml:space="preserve">   847160</v>
      </c>
      <c r="B2591" t="str">
        <f>T("   UNITÉS D'ENTRÉE OU DE SORTIE POUR MACHINES AUTOMATIQUES DE TRAITEMENT DE L'INFORMATION, POUVANT COMPORTER, SOUS LA MÊME ENVELOPPE, DES UNITÉS DE MÉMOIRE")</f>
        <v xml:space="preserve">   UNITÉS D'ENTRÉE OU DE SORTIE POUR MACHINES AUTOMATIQUES DE TRAITEMENT DE L'INFORMATION, POUVANT COMPORTER, SOUS LA MÊME ENVELOPPE, DES UNITÉS DE MÉMOIRE</v>
      </c>
      <c r="C2591">
        <v>9430792</v>
      </c>
      <c r="D2591">
        <v>5169</v>
      </c>
    </row>
    <row r="2592" spans="1:4" x14ac:dyDescent="0.25">
      <c r="A2592" t="str">
        <f>T("   847180")</f>
        <v xml:space="preserve">   847180</v>
      </c>
      <c r="B2592"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2592">
        <v>19090388</v>
      </c>
      <c r="D2592">
        <v>12634</v>
      </c>
    </row>
    <row r="2593" spans="1:4" x14ac:dyDescent="0.25">
      <c r="A2593" t="str">
        <f>T("   847190")</f>
        <v xml:space="preserve">   847190</v>
      </c>
      <c r="B2593"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2593">
        <v>63213642</v>
      </c>
      <c r="D2593">
        <v>68282</v>
      </c>
    </row>
    <row r="2594" spans="1:4" x14ac:dyDescent="0.25">
      <c r="A2594" t="str">
        <f>T("   847290")</f>
        <v xml:space="preserve">   847290</v>
      </c>
      <c r="B2594" t="str">
        <f>T("   Machines et appareils de bureau, n.d.a.")</f>
        <v xml:space="preserve">   Machines et appareils de bureau, n.d.a.</v>
      </c>
      <c r="C2594">
        <v>26824023</v>
      </c>
      <c r="D2594">
        <v>21526</v>
      </c>
    </row>
    <row r="2595" spans="1:4" x14ac:dyDescent="0.25">
      <c r="A2595" t="str">
        <f>T("   847310")</f>
        <v xml:space="preserve">   847310</v>
      </c>
      <c r="B2595" t="str">
        <f>T("   Parties et accessoires des machines à écrire ou machines pour le traitement de textes du n° 8469, n.d.a.")</f>
        <v xml:space="preserve">   Parties et accessoires des machines à écrire ou machines pour le traitement de textes du n° 8469, n.d.a.</v>
      </c>
      <c r="C2595">
        <v>3500000</v>
      </c>
      <c r="D2595">
        <v>2895</v>
      </c>
    </row>
    <row r="2596" spans="1:4" x14ac:dyDescent="0.25">
      <c r="A2596" t="str">
        <f>T("   847330")</f>
        <v xml:space="preserve">   847330</v>
      </c>
      <c r="B2596" t="str">
        <f>T("   Parties et accessoires pour machines automatiques de traitement de l'information ou pour autres machines du n° 8471, n.d.a.")</f>
        <v xml:space="preserve">   Parties et accessoires pour machines automatiques de traitement de l'information ou pour autres machines du n° 8471, n.d.a.</v>
      </c>
      <c r="C2596">
        <v>37882434</v>
      </c>
      <c r="D2596">
        <v>19378</v>
      </c>
    </row>
    <row r="2597" spans="1:4" x14ac:dyDescent="0.25">
      <c r="A2597" t="str">
        <f>T("   847350")</f>
        <v xml:space="preserve">   847350</v>
      </c>
      <c r="B2597" t="str">
        <f>T("   Parties et accessoires qui peuvent être utilisés indifféremment avec les machines ou appareils de plusieurs du n° 8469 à 8472, n.d.a.")</f>
        <v xml:space="preserve">   Parties et accessoires qui peuvent être utilisés indifféremment avec les machines ou appareils de plusieurs du n° 8469 à 8472, n.d.a.</v>
      </c>
      <c r="C2597">
        <v>3449022</v>
      </c>
      <c r="D2597">
        <v>222</v>
      </c>
    </row>
    <row r="2598" spans="1:4" x14ac:dyDescent="0.25">
      <c r="A2598" t="str">
        <f>T("   847420")</f>
        <v xml:space="preserve">   847420</v>
      </c>
      <c r="B2598" t="str">
        <f>T("   Machines et appareils à concasser, broyer ou pulvériser les matières minérales solides")</f>
        <v xml:space="preserve">   Machines et appareils à concasser, broyer ou pulvériser les matières minérales solides</v>
      </c>
      <c r="C2598">
        <v>7930000</v>
      </c>
      <c r="D2598">
        <v>4330</v>
      </c>
    </row>
    <row r="2599" spans="1:4" x14ac:dyDescent="0.25">
      <c r="A2599" t="str">
        <f>T("   847431")</f>
        <v xml:space="preserve">   847431</v>
      </c>
      <c r="B2599" t="str">
        <f>T("   Bétonnières et appareils à gâcher le ciment (sauf montés sur wagons de chemins de fer ou sur châssis de véhicules automobiles)")</f>
        <v xml:space="preserve">   Bétonnières et appareils à gâcher le ciment (sauf montés sur wagons de chemins de fer ou sur châssis de véhicules automobiles)</v>
      </c>
      <c r="C2599">
        <v>3709680</v>
      </c>
      <c r="D2599">
        <v>11891</v>
      </c>
    </row>
    <row r="2600" spans="1:4" x14ac:dyDescent="0.25">
      <c r="A2600" t="str">
        <f>T("   847439")</f>
        <v xml:space="preserve">   847439</v>
      </c>
      <c r="B2600" t="str">
        <f>T("   Machines et appareils à mélanger ou à malaxer les matières minérales solides, y.c. -les poudres et les pâtes- (sauf bétonnières et appareils à gâcher le ciment, machines à mélanger les matières minérales au bitume et sauf calandres)")</f>
        <v xml:space="preserve">   Machines et appareils à mélanger ou à malaxer les matières minérales solides, y.c. -les poudres et les pâtes- (sauf bétonnières et appareils à gâcher le ciment, machines à mélanger les matières minérales au bitume et sauf calandres)</v>
      </c>
      <c r="C2600">
        <v>473082923</v>
      </c>
      <c r="D2600">
        <v>298000</v>
      </c>
    </row>
    <row r="2601" spans="1:4" x14ac:dyDescent="0.25">
      <c r="A2601" t="str">
        <f>T("   847480")</f>
        <v xml:space="preserve">   847480</v>
      </c>
      <c r="B2601" t="s">
        <v>440</v>
      </c>
      <c r="C2601">
        <v>28025817</v>
      </c>
      <c r="D2601">
        <v>14201</v>
      </c>
    </row>
    <row r="2602" spans="1:4" x14ac:dyDescent="0.25">
      <c r="A2602" t="str">
        <f>T("   847490")</f>
        <v xml:space="preserve">   847490</v>
      </c>
      <c r="B2602" t="str">
        <f>T("   Parties des machines et appareils pour le travail des matières minérales du n° 8474, n.d.a.")</f>
        <v xml:space="preserve">   Parties des machines et appareils pour le travail des matières minérales du n° 8474, n.d.a.</v>
      </c>
      <c r="C2602">
        <v>69742484</v>
      </c>
      <c r="D2602">
        <v>123000</v>
      </c>
    </row>
    <row r="2603" spans="1:4" x14ac:dyDescent="0.25">
      <c r="A2603" t="str">
        <f>T("   847690")</f>
        <v xml:space="preserve">   847690</v>
      </c>
      <c r="B2603" t="str">
        <f>T("   Parties des machines automatiques de vente de produits, y.c. les machines automatiques pour changer la monnaie, n.d.a.")</f>
        <v xml:space="preserve">   Parties des machines automatiques de vente de produits, y.c. les machines automatiques pour changer la monnaie, n.d.a.</v>
      </c>
      <c r="C2603">
        <v>207223</v>
      </c>
      <c r="D2603">
        <v>80</v>
      </c>
    </row>
    <row r="2604" spans="1:4" x14ac:dyDescent="0.25">
      <c r="A2604" t="str">
        <f>T("   847710")</f>
        <v xml:space="preserve">   847710</v>
      </c>
      <c r="B2604" t="str">
        <f>T("   Machines à mouler par injection pour le travail du caoutchouc ou des matières plastiques ou pour la fabrication de produits en ces matières")</f>
        <v xml:space="preserve">   Machines à mouler par injection pour le travail du caoutchouc ou des matières plastiques ou pour la fabrication de produits en ces matières</v>
      </c>
      <c r="C2604">
        <v>8860902</v>
      </c>
      <c r="D2604">
        <v>115</v>
      </c>
    </row>
    <row r="2605" spans="1:4" x14ac:dyDescent="0.25">
      <c r="A2605" t="str">
        <f>T("   847730")</f>
        <v xml:space="preserve">   847730</v>
      </c>
      <c r="B2605" t="str">
        <f>T("   Machines à mouler par soufflage pour le travail du caoutchouc ou des matières plastiques ou pour la fabrication de produits en ces matières")</f>
        <v xml:space="preserve">   Machines à mouler par soufflage pour le travail du caoutchouc ou des matières plastiques ou pour la fabrication de produits en ces matières</v>
      </c>
      <c r="C2605">
        <v>11750898</v>
      </c>
      <c r="D2605">
        <v>15420</v>
      </c>
    </row>
    <row r="2606" spans="1:4" x14ac:dyDescent="0.25">
      <c r="A2606" t="str">
        <f>T("   847751")</f>
        <v xml:space="preserve">   847751</v>
      </c>
      <c r="B2606" t="str">
        <f>T("   Machines et appareils à mouler ou à rechaper les pneumatiques ou à mouler ou à former les chambres à air en caoutchouc ou en matières plastiques")</f>
        <v xml:space="preserve">   Machines et appareils à mouler ou à rechaper les pneumatiques ou à mouler ou à former les chambres à air en caoutchouc ou en matières plastiques</v>
      </c>
      <c r="C2606">
        <v>1089050</v>
      </c>
      <c r="D2606">
        <v>798</v>
      </c>
    </row>
    <row r="2607" spans="1:4" x14ac:dyDescent="0.25">
      <c r="A2607" t="str">
        <f>T("   847780")</f>
        <v xml:space="preserve">   847780</v>
      </c>
      <c r="B2607" t="str">
        <f>T("   MACHINES ET APPAREILS POUR LE TRAVAIL DU CAOUTCHOUC OU DES MATIÈRES PLASTIQUES OU POUR LA FABRICATION DE PRODUITS EN CES MATIÈRES N.D.A. DANS LE CHAPITRE 84")</f>
        <v xml:space="preserve">   MACHINES ET APPAREILS POUR LE TRAVAIL DU CAOUTCHOUC OU DES MATIÈRES PLASTIQUES OU POUR LA FABRICATION DE PRODUITS EN CES MATIÈRES N.D.A. DANS LE CHAPITRE 84</v>
      </c>
      <c r="C2607">
        <v>1119790</v>
      </c>
      <c r="D2607">
        <v>2025</v>
      </c>
    </row>
    <row r="2608" spans="1:4" x14ac:dyDescent="0.25">
      <c r="A2608" t="str">
        <f>T("   847790")</f>
        <v xml:space="preserve">   847790</v>
      </c>
      <c r="B2608" t="str">
        <f>T("   Parties des machines et appareils pour le travail du caoutchouc ou des matières plastiques ou pour la fabrication de produits en ces matières, n.d.a.")</f>
        <v xml:space="preserve">   Parties des machines et appareils pour le travail du caoutchouc ou des matières plastiques ou pour la fabrication de produits en ces matières, n.d.a.</v>
      </c>
      <c r="C2608">
        <v>7142795</v>
      </c>
      <c r="D2608">
        <v>1417</v>
      </c>
    </row>
    <row r="2609" spans="1:4" x14ac:dyDescent="0.25">
      <c r="A2609" t="str">
        <f>T("   847910")</f>
        <v xml:space="preserve">   847910</v>
      </c>
      <c r="B2609" t="str">
        <f>T("   Machines et appareils pour les travaux publics, le bâtiment ou les travaux analogues, n.d.a.")</f>
        <v xml:space="preserve">   Machines et appareils pour les travaux publics, le bâtiment ou les travaux analogues, n.d.a.</v>
      </c>
      <c r="C2609">
        <v>4267485</v>
      </c>
      <c r="D2609">
        <v>3000</v>
      </c>
    </row>
    <row r="2610" spans="1:4" x14ac:dyDescent="0.25">
      <c r="A2610" t="str">
        <f>T("   847960")</f>
        <v xml:space="preserve">   847960</v>
      </c>
      <c r="B2610" t="str">
        <f>T("   Appareils mécaniques à évaporation pour le rafraîchissement de l'air, n.d.a.")</f>
        <v xml:space="preserve">   Appareils mécaniques à évaporation pour le rafraîchissement de l'air, n.d.a.</v>
      </c>
      <c r="C2610">
        <v>2048263</v>
      </c>
      <c r="D2610">
        <v>1893</v>
      </c>
    </row>
    <row r="2611" spans="1:4" x14ac:dyDescent="0.25">
      <c r="A2611" t="str">
        <f>T("   847982")</f>
        <v xml:space="preserve">   847982</v>
      </c>
      <c r="B2611" t="str">
        <f>T("   Machines et appareils à mélanger, malaxer, concasser, broyer, cribler, tamiser, homogénéiser, émulsionner ou brasser, n.d.a. (à l'excl. des robots industriels)")</f>
        <v xml:space="preserve">   Machines et appareils à mélanger, malaxer, concasser, broyer, cribler, tamiser, homogénéiser, émulsionner ou brasser, n.d.a. (à l'excl. des robots industriels)</v>
      </c>
      <c r="C2611">
        <v>3294249</v>
      </c>
      <c r="D2611">
        <v>3305</v>
      </c>
    </row>
    <row r="2612" spans="1:4" x14ac:dyDescent="0.25">
      <c r="A2612" t="str">
        <f>T("   847989")</f>
        <v xml:space="preserve">   847989</v>
      </c>
      <c r="B2612" t="str">
        <f>T("   Machines et appareils, y.c. les appareils mécaniques, n.d.a.")</f>
        <v xml:space="preserve">   Machines et appareils, y.c. les appareils mécaniques, n.d.a.</v>
      </c>
      <c r="C2612">
        <v>70484343</v>
      </c>
      <c r="D2612">
        <v>67564</v>
      </c>
    </row>
    <row r="2613" spans="1:4" x14ac:dyDescent="0.25">
      <c r="A2613" t="str">
        <f>T("   847990")</f>
        <v xml:space="preserve">   847990</v>
      </c>
      <c r="B2613" t="str">
        <f>T("   Parties de machines et appareils, y.c. les appareils mécaniques, n.d.a.")</f>
        <v xml:space="preserve">   Parties de machines et appareils, y.c. les appareils mécaniques, n.d.a.</v>
      </c>
      <c r="C2613">
        <v>20436434</v>
      </c>
      <c r="D2613">
        <v>51511</v>
      </c>
    </row>
    <row r="2614" spans="1:4" x14ac:dyDescent="0.25">
      <c r="A2614" t="str">
        <f>T("   848049")</f>
        <v xml:space="preserve">   848049</v>
      </c>
      <c r="B2614" t="s">
        <v>445</v>
      </c>
      <c r="C2614">
        <v>500000</v>
      </c>
      <c r="D2614">
        <v>420</v>
      </c>
    </row>
    <row r="2615" spans="1:4" x14ac:dyDescent="0.25">
      <c r="A2615" t="str">
        <f>T("   848071")</f>
        <v xml:space="preserve">   848071</v>
      </c>
      <c r="B2615" t="str">
        <f>T("   Moules pour le caoutchouc ou les matières plastiques, pour le moulage par injection ou par compression")</f>
        <v xml:space="preserve">   Moules pour le caoutchouc ou les matières plastiques, pour le moulage par injection ou par compression</v>
      </c>
      <c r="C2615">
        <v>4908544</v>
      </c>
      <c r="D2615">
        <v>499</v>
      </c>
    </row>
    <row r="2616" spans="1:4" x14ac:dyDescent="0.25">
      <c r="A2616" t="str">
        <f>T("   848079")</f>
        <v xml:space="preserve">   848079</v>
      </c>
      <c r="B2616" t="s">
        <v>446</v>
      </c>
      <c r="C2616">
        <v>22093837</v>
      </c>
      <c r="D2616">
        <v>47851</v>
      </c>
    </row>
    <row r="2617" spans="1:4" x14ac:dyDescent="0.25">
      <c r="A2617" t="str">
        <f>T("   848120")</f>
        <v xml:space="preserve">   848120</v>
      </c>
      <c r="B2617" t="str">
        <f>T("   Valves pour transmissions oléohydrauliques ou pneumatiques")</f>
        <v xml:space="preserve">   Valves pour transmissions oléohydrauliques ou pneumatiques</v>
      </c>
      <c r="C2617">
        <v>92327963</v>
      </c>
      <c r="D2617">
        <v>37828</v>
      </c>
    </row>
    <row r="2618" spans="1:4" x14ac:dyDescent="0.25">
      <c r="A2618" t="str">
        <f>T("   848180")</f>
        <v xml:space="preserve">   848180</v>
      </c>
      <c r="B2618"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2618">
        <v>330994887</v>
      </c>
      <c r="D2618">
        <v>192694</v>
      </c>
    </row>
    <row r="2619" spans="1:4" x14ac:dyDescent="0.25">
      <c r="A2619" t="str">
        <f>T("   848280")</f>
        <v xml:space="preserve">   848280</v>
      </c>
      <c r="B2619" t="s">
        <v>447</v>
      </c>
      <c r="C2619">
        <v>2047907</v>
      </c>
      <c r="D2619">
        <v>110</v>
      </c>
    </row>
    <row r="2620" spans="1:4" x14ac:dyDescent="0.25">
      <c r="A2620" t="str">
        <f>T("   848310")</f>
        <v xml:space="preserve">   848310</v>
      </c>
      <c r="B2620" t="str">
        <f>T("   Arbres de transmission pour machines, y.c. -les arbres à cames et les vilebrequins- et manivelles")</f>
        <v xml:space="preserve">   Arbres de transmission pour machines, y.c. -les arbres à cames et les vilebrequins- et manivelles</v>
      </c>
      <c r="C2620">
        <v>54418461</v>
      </c>
      <c r="D2620">
        <v>14311</v>
      </c>
    </row>
    <row r="2621" spans="1:4" x14ac:dyDescent="0.25">
      <c r="A2621" t="str">
        <f>T("   848360")</f>
        <v xml:space="preserve">   848360</v>
      </c>
      <c r="B2621" t="str">
        <f>T("   Embrayages et organes d'accouplement, y.c. les joints d'articulation, pour machines")</f>
        <v xml:space="preserve">   Embrayages et organes d'accouplement, y.c. les joints d'articulation, pour machines</v>
      </c>
      <c r="C2621">
        <v>11151</v>
      </c>
      <c r="D2621">
        <v>1</v>
      </c>
    </row>
    <row r="2622" spans="1:4" x14ac:dyDescent="0.25">
      <c r="A2622" t="str">
        <f>T("   848390")</f>
        <v xml:space="preserve">   848390</v>
      </c>
      <c r="B2622" t="str">
        <f>T("   Roues dentées et autres organes élémentaires de transmission présentés séparément; parties d'organes mécaniques, d'organes de transmission, d'engrenages, de variateurs de vitesses, d'organes d'accouplement et d'autres organes du n° 8483, n.d.a.")</f>
        <v xml:space="preserve">   Roues dentées et autres organes élémentaires de transmission présentés séparément; parties d'organes mécaniques, d'organes de transmission, d'engrenages, de variateurs de vitesses, d'organes d'accouplement et d'autres organes du n° 8483, n.d.a.</v>
      </c>
      <c r="C2622">
        <v>74069700</v>
      </c>
      <c r="D2622">
        <v>6259</v>
      </c>
    </row>
    <row r="2623" spans="1:4" x14ac:dyDescent="0.25">
      <c r="A2623" t="str">
        <f>T("   848490")</f>
        <v xml:space="preserve">   848490</v>
      </c>
      <c r="B2623" t="str">
        <f>T("   Jeux ou assortiments de joints de composition différente présentés en pochettes, enveloppes ou emballages analogues")</f>
        <v xml:space="preserve">   Jeux ou assortiments de joints de composition différente présentés en pochettes, enveloppes ou emballages analogues</v>
      </c>
      <c r="C2623">
        <v>174286387</v>
      </c>
      <c r="D2623">
        <v>4180</v>
      </c>
    </row>
    <row r="2624" spans="1:4" x14ac:dyDescent="0.25">
      <c r="A2624" t="str">
        <f>T("   850131")</f>
        <v xml:space="preserve">   850131</v>
      </c>
      <c r="B2624" t="str">
        <f>T("   Moteurs à courant continu, puissance &lt;= 750 W mais &gt; 37,5 W et génératrices à courant continu, puissance &lt;= 750 W")</f>
        <v xml:space="preserve">   Moteurs à courant continu, puissance &lt;= 750 W mais &gt; 37,5 W et génératrices à courant continu, puissance &lt;= 750 W</v>
      </c>
      <c r="C2624">
        <v>153930</v>
      </c>
      <c r="D2624">
        <v>355</v>
      </c>
    </row>
    <row r="2625" spans="1:4" x14ac:dyDescent="0.25">
      <c r="A2625" t="str">
        <f>T("   850132")</f>
        <v xml:space="preserve">   850132</v>
      </c>
      <c r="B2625" t="str">
        <f>T("   Moteurs et génératrices à courant continu, puissance &gt; 750 W mais &lt;= 75 kW")</f>
        <v xml:space="preserve">   Moteurs et génératrices à courant continu, puissance &gt; 750 W mais &lt;= 75 kW</v>
      </c>
      <c r="C2625">
        <v>3582231</v>
      </c>
      <c r="D2625">
        <v>2556</v>
      </c>
    </row>
    <row r="2626" spans="1:4" x14ac:dyDescent="0.25">
      <c r="A2626" t="str">
        <f>T("   850152")</f>
        <v xml:space="preserve">   850152</v>
      </c>
      <c r="B2626" t="str">
        <f>T("   Moteurs à courant alternatif, polyphasés, puissance &gt; 750 W mais &lt;= 75 kW")</f>
        <v xml:space="preserve">   Moteurs à courant alternatif, polyphasés, puissance &gt; 750 W mais &lt;= 75 kW</v>
      </c>
      <c r="C2626">
        <v>98480</v>
      </c>
      <c r="D2626">
        <v>90</v>
      </c>
    </row>
    <row r="2627" spans="1:4" x14ac:dyDescent="0.25">
      <c r="A2627" t="str">
        <f>T("   850161")</f>
        <v xml:space="preserve">   850161</v>
      </c>
      <c r="B2627" t="str">
        <f>T("   Alternateurs, puissance &lt;= 75 kVA")</f>
        <v xml:space="preserve">   Alternateurs, puissance &lt;= 75 kVA</v>
      </c>
      <c r="C2627">
        <v>15283615</v>
      </c>
      <c r="D2627">
        <v>7953</v>
      </c>
    </row>
    <row r="2628" spans="1:4" x14ac:dyDescent="0.25">
      <c r="A2628" t="str">
        <f>T("   850211")</f>
        <v xml:space="preserve">   850211</v>
      </c>
      <c r="B2628" t="s">
        <v>449</v>
      </c>
      <c r="C2628">
        <v>56860328</v>
      </c>
      <c r="D2628">
        <v>30814</v>
      </c>
    </row>
    <row r="2629" spans="1:4" x14ac:dyDescent="0.25">
      <c r="A2629" t="str">
        <f>T("   850212")</f>
        <v xml:space="preserve">   850212</v>
      </c>
      <c r="B2629"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2629">
        <v>28078036</v>
      </c>
      <c r="D2629">
        <v>8506</v>
      </c>
    </row>
    <row r="2630" spans="1:4" x14ac:dyDescent="0.25">
      <c r="A2630" t="str">
        <f>T("   850220")</f>
        <v xml:space="preserve">   850220</v>
      </c>
      <c r="B2630" t="s">
        <v>451</v>
      </c>
      <c r="C2630">
        <v>16022513</v>
      </c>
      <c r="D2630">
        <v>6380</v>
      </c>
    </row>
    <row r="2631" spans="1:4" x14ac:dyDescent="0.25">
      <c r="A2631" t="str">
        <f>T("   850239")</f>
        <v xml:space="preserve">   850239</v>
      </c>
      <c r="B2631" t="str">
        <f>T("   Groupes électrogènes (autres qu'à énergie éolienne et à moteurs à piston)")</f>
        <v xml:space="preserve">   Groupes électrogènes (autres qu'à énergie éolienne et à moteurs à piston)</v>
      </c>
      <c r="C2631">
        <v>55624070</v>
      </c>
      <c r="D2631">
        <v>49061</v>
      </c>
    </row>
    <row r="2632" spans="1:4" x14ac:dyDescent="0.25">
      <c r="A2632" t="str">
        <f>T("   850300")</f>
        <v xml:space="preserve">   850300</v>
      </c>
      <c r="B2632" t="str">
        <f>T("   Parties reconnaissables comme étant exclusivement ou principalement destinées aux moteurs et machines génératrices électriques, groupes électrogènes ou convertisseurs rotatifs électriques n.d.a.")</f>
        <v xml:space="preserve">   Parties reconnaissables comme étant exclusivement ou principalement destinées aux moteurs et machines génératrices électriques, groupes électrogènes ou convertisseurs rotatifs électriques n.d.a.</v>
      </c>
      <c r="C2632">
        <v>3519368</v>
      </c>
      <c r="D2632">
        <v>8755</v>
      </c>
    </row>
    <row r="2633" spans="1:4" x14ac:dyDescent="0.25">
      <c r="A2633" t="str">
        <f>T("   850421")</f>
        <v xml:space="preserve">   850421</v>
      </c>
      <c r="B2633" t="str">
        <f>T("   Transformateurs à diélectrique liquide, puissance &lt;= 650 kVA")</f>
        <v xml:space="preserve">   Transformateurs à diélectrique liquide, puissance &lt;= 650 kVA</v>
      </c>
      <c r="C2633">
        <v>38843220</v>
      </c>
      <c r="D2633">
        <v>62756</v>
      </c>
    </row>
    <row r="2634" spans="1:4" x14ac:dyDescent="0.25">
      <c r="A2634" t="str">
        <f>T("   850431")</f>
        <v xml:space="preserve">   850431</v>
      </c>
      <c r="B2634" t="str">
        <f>T("   Transformateurs à sec, puissance &lt;= 1 kVA")</f>
        <v xml:space="preserve">   Transformateurs à sec, puissance &lt;= 1 kVA</v>
      </c>
      <c r="C2634">
        <v>42183</v>
      </c>
      <c r="D2634">
        <v>822</v>
      </c>
    </row>
    <row r="2635" spans="1:4" x14ac:dyDescent="0.25">
      <c r="A2635" t="str">
        <f>T("   850432")</f>
        <v xml:space="preserve">   850432</v>
      </c>
      <c r="B2635" t="str">
        <f>T("   Transformateurs à sec, puissance &gt; 1 kVA mais &lt;= 16 kVA")</f>
        <v xml:space="preserve">   Transformateurs à sec, puissance &gt; 1 kVA mais &lt;= 16 kVA</v>
      </c>
      <c r="C2635">
        <v>89995507</v>
      </c>
      <c r="D2635">
        <v>23648</v>
      </c>
    </row>
    <row r="2636" spans="1:4" x14ac:dyDescent="0.25">
      <c r="A2636" t="str">
        <f>T("   850433")</f>
        <v xml:space="preserve">   850433</v>
      </c>
      <c r="B2636" t="str">
        <f>T("   Transformateurs à sec, puissance &gt; 16 kVA mais &lt;= 500 kVA")</f>
        <v xml:space="preserve">   Transformateurs à sec, puissance &gt; 16 kVA mais &lt;= 500 kVA</v>
      </c>
      <c r="C2636">
        <v>3949159</v>
      </c>
      <c r="D2636">
        <v>1222</v>
      </c>
    </row>
    <row r="2637" spans="1:4" x14ac:dyDescent="0.25">
      <c r="A2637" t="str">
        <f>T("   850440")</f>
        <v xml:space="preserve">   850440</v>
      </c>
      <c r="B2637" t="str">
        <f>T("   CONVERTISSEURS STATIQUES")</f>
        <v xml:space="preserve">   CONVERTISSEURS STATIQUES</v>
      </c>
      <c r="C2637">
        <v>35651269</v>
      </c>
      <c r="D2637">
        <v>19110</v>
      </c>
    </row>
    <row r="2638" spans="1:4" x14ac:dyDescent="0.25">
      <c r="A2638" t="str">
        <f>T("   850610")</f>
        <v xml:space="preserve">   850610</v>
      </c>
      <c r="B2638" t="str">
        <f>T("   Piles et batteries de piles électriques, au bioxyde de manganèse (sauf hors d'usage)")</f>
        <v xml:space="preserve">   Piles et batteries de piles électriques, au bioxyde de manganèse (sauf hors d'usage)</v>
      </c>
      <c r="C2638">
        <v>458983706</v>
      </c>
      <c r="D2638">
        <v>3740071</v>
      </c>
    </row>
    <row r="2639" spans="1:4" x14ac:dyDescent="0.25">
      <c r="A2639" t="str">
        <f>T("   850640")</f>
        <v xml:space="preserve">   850640</v>
      </c>
      <c r="B2639" t="str">
        <f>T("   Piles et batteries de piles électriques, à l'oxyde d'argent (sauf hors d'usage)")</f>
        <v xml:space="preserve">   Piles et batteries de piles électriques, à l'oxyde d'argent (sauf hors d'usage)</v>
      </c>
      <c r="C2639">
        <v>100000</v>
      </c>
      <c r="D2639">
        <v>2500</v>
      </c>
    </row>
    <row r="2640" spans="1:4" x14ac:dyDescent="0.25">
      <c r="A2640" t="str">
        <f>T("   850650")</f>
        <v xml:space="preserve">   850650</v>
      </c>
      <c r="B2640" t="str">
        <f>T("   Piles et batteries de piles électriques, au lithium (sauf hors d'usage)")</f>
        <v xml:space="preserve">   Piles et batteries de piles électriques, au lithium (sauf hors d'usage)</v>
      </c>
      <c r="C2640">
        <v>2294759</v>
      </c>
      <c r="D2640">
        <v>5323</v>
      </c>
    </row>
    <row r="2641" spans="1:4" x14ac:dyDescent="0.25">
      <c r="A2641" t="str">
        <f>T("   850680")</f>
        <v xml:space="preserve">   850680</v>
      </c>
      <c r="B2641" t="str">
        <f>T("   Piles et batteries de piles électriques (sauf hors d'usage et autres que piles et batteries à l'oxyde d'argent, de mercure, au bioxyde de manganèse, au lithium et à l'air-zinc)")</f>
        <v xml:space="preserve">   Piles et batteries de piles électriques (sauf hors d'usage et autres que piles et batteries à l'oxyde d'argent, de mercure, au bioxyde de manganèse, au lithium et à l'air-zinc)</v>
      </c>
      <c r="C2641">
        <v>184742905</v>
      </c>
      <c r="D2641">
        <v>1620381</v>
      </c>
    </row>
    <row r="2642" spans="1:4" x14ac:dyDescent="0.25">
      <c r="A2642" t="str">
        <f>T("   850710")</f>
        <v xml:space="preserve">   850710</v>
      </c>
      <c r="B2642" t="str">
        <f>T("   Accumulateurs au plomb, pour le démarrage des moteurs à piston (sauf hors d'usage)")</f>
        <v xml:space="preserve">   Accumulateurs au plomb, pour le démarrage des moteurs à piston (sauf hors d'usage)</v>
      </c>
      <c r="C2642">
        <v>121552129</v>
      </c>
      <c r="D2642">
        <v>469358</v>
      </c>
    </row>
    <row r="2643" spans="1:4" x14ac:dyDescent="0.25">
      <c r="A2643" t="str">
        <f>T("   850720")</f>
        <v xml:space="preserve">   850720</v>
      </c>
      <c r="B2643" t="str">
        <f>T("   Accumulateurs au plomb (sauf hors d'usage et autres que pour le démarrage des moteurs à piston)")</f>
        <v xml:space="preserve">   Accumulateurs au plomb (sauf hors d'usage et autres que pour le démarrage des moteurs à piston)</v>
      </c>
      <c r="C2643">
        <v>25220312</v>
      </c>
      <c r="D2643">
        <v>63125</v>
      </c>
    </row>
    <row r="2644" spans="1:4" x14ac:dyDescent="0.25">
      <c r="A2644" t="str">
        <f>T("   850730")</f>
        <v xml:space="preserve">   850730</v>
      </c>
      <c r="B2644" t="str">
        <f>T("   Accumulateurs au nickel-cadmium (sauf hors d'usage)")</f>
        <v xml:space="preserve">   Accumulateurs au nickel-cadmium (sauf hors d'usage)</v>
      </c>
      <c r="C2644">
        <v>179615</v>
      </c>
      <c r="D2644">
        <v>60</v>
      </c>
    </row>
    <row r="2645" spans="1:4" x14ac:dyDescent="0.25">
      <c r="A2645" t="str">
        <f>T("   850780")</f>
        <v xml:space="preserve">   850780</v>
      </c>
      <c r="B2645" t="str">
        <f>T("   Accumulateurs électriques (sauf hors d'usage et autres qu'au plomb, au nickel-cadmium ou au nickel-fer)")</f>
        <v xml:space="preserve">   Accumulateurs électriques (sauf hors d'usage et autres qu'au plomb, au nickel-cadmium ou au nickel-fer)</v>
      </c>
      <c r="C2645">
        <v>22838132</v>
      </c>
      <c r="D2645">
        <v>26313</v>
      </c>
    </row>
    <row r="2646" spans="1:4" x14ac:dyDescent="0.25">
      <c r="A2646" t="str">
        <f>T("   850790")</f>
        <v xml:space="preserve">   850790</v>
      </c>
      <c r="B2646" t="str">
        <f>T("   Plaques, séparateurs et autres parties d'accumulateurs électriques n.d.a.")</f>
        <v xml:space="preserve">   Plaques, séparateurs et autres parties d'accumulateurs électriques n.d.a.</v>
      </c>
      <c r="C2646">
        <v>619904</v>
      </c>
      <c r="D2646">
        <v>1061</v>
      </c>
    </row>
    <row r="2647" spans="1:4" x14ac:dyDescent="0.25">
      <c r="A2647" t="str">
        <f>T("   850820")</f>
        <v xml:space="preserve">   850820</v>
      </c>
      <c r="B2647" t="str">
        <f>T("   SCIES ET TRONCONNEUSES A MOTEUR ELECTRIQUE INCORPORE")</f>
        <v xml:space="preserve">   SCIES ET TRONCONNEUSES A MOTEUR ELECTRIQUE INCORPORE</v>
      </c>
      <c r="C2647">
        <v>14186088</v>
      </c>
      <c r="D2647">
        <v>39940</v>
      </c>
    </row>
    <row r="2648" spans="1:4" x14ac:dyDescent="0.25">
      <c r="A2648" t="str">
        <f>T("   850910")</f>
        <v xml:space="preserve">   850910</v>
      </c>
      <c r="B2648" t="str">
        <f>T("   Aspirateurs de poussières, y.c. les aspirateurs de matières sèches et de matières liquides, à moteur électrique incorporé, à usage domestique")</f>
        <v xml:space="preserve">   Aspirateurs de poussières, y.c. les aspirateurs de matières sèches et de matières liquides, à moteur électrique incorporé, à usage domestique</v>
      </c>
      <c r="C2648">
        <v>86143</v>
      </c>
      <c r="D2648">
        <v>64</v>
      </c>
    </row>
    <row r="2649" spans="1:4" x14ac:dyDescent="0.25">
      <c r="A2649" t="str">
        <f>T("   850940")</f>
        <v xml:space="preserve">   850940</v>
      </c>
      <c r="B2649" t="str">
        <f>T("   Broyeurs et mélangeurs pour aliments; presse-fruits et presse-légumes à moteur électrique incorporé, à usage domestique")</f>
        <v xml:space="preserve">   Broyeurs et mélangeurs pour aliments; presse-fruits et presse-légumes à moteur électrique incorporé, à usage domestique</v>
      </c>
      <c r="C2649">
        <v>1082289</v>
      </c>
      <c r="D2649">
        <v>2532</v>
      </c>
    </row>
    <row r="2650" spans="1:4" x14ac:dyDescent="0.25">
      <c r="A2650" t="str">
        <f>T("   851010")</f>
        <v xml:space="preserve">   851010</v>
      </c>
      <c r="B2650" t="str">
        <f>T("   Rasoirs électriques")</f>
        <v xml:space="preserve">   Rasoirs électriques</v>
      </c>
      <c r="C2650">
        <v>22529</v>
      </c>
      <c r="D2650">
        <v>89</v>
      </c>
    </row>
    <row r="2651" spans="1:4" x14ac:dyDescent="0.25">
      <c r="A2651" t="str">
        <f>T("   851020")</f>
        <v xml:space="preserve">   851020</v>
      </c>
      <c r="B2651" t="str">
        <f>T("   Tondeuses à moteur électrique incorporé")</f>
        <v xml:space="preserve">   Tondeuses à moteur électrique incorporé</v>
      </c>
      <c r="C2651">
        <v>200000</v>
      </c>
      <c r="D2651">
        <v>1800</v>
      </c>
    </row>
    <row r="2652" spans="1:4" x14ac:dyDescent="0.25">
      <c r="A2652" t="str">
        <f>T("   851140")</f>
        <v xml:space="preserve">   851140</v>
      </c>
      <c r="B2652" t="str">
        <f>T("   Démarreurs, même fonctionnant comme génératrices, pour moteurs à allumage par étincelles ou par compression")</f>
        <v xml:space="preserve">   Démarreurs, même fonctionnant comme génératrices, pour moteurs à allumage par étincelles ou par compression</v>
      </c>
      <c r="C2652">
        <v>94485</v>
      </c>
      <c r="D2652">
        <v>42</v>
      </c>
    </row>
    <row r="2653" spans="1:4" x14ac:dyDescent="0.25">
      <c r="A2653" t="str">
        <f>T("   851230")</f>
        <v xml:space="preserve">   851230</v>
      </c>
      <c r="B2653" t="str">
        <f>T("   APPAREILS ÉLECTRIQUES DE SIGNALISATION ACOUSTIQUE, POUR CYCLES OU POUR AUTOMOBILES")</f>
        <v xml:space="preserve">   APPAREILS ÉLECTRIQUES DE SIGNALISATION ACOUSTIQUE, POUR CYCLES OU POUR AUTOMOBILES</v>
      </c>
      <c r="C2653">
        <v>57074</v>
      </c>
      <c r="D2653">
        <v>325</v>
      </c>
    </row>
    <row r="2654" spans="1:4" x14ac:dyDescent="0.25">
      <c r="A2654" t="str">
        <f>T("   851240")</f>
        <v xml:space="preserve">   851240</v>
      </c>
      <c r="B2654" t="str">
        <f>T("   Essuie-glaces, dégivreurs et dispositifs antibuée électriques, des types utilisés pour automobiles")</f>
        <v xml:space="preserve">   Essuie-glaces, dégivreurs et dispositifs antibuée électriques, des types utilisés pour automobiles</v>
      </c>
      <c r="C2654">
        <v>257411</v>
      </c>
      <c r="D2654">
        <v>92</v>
      </c>
    </row>
    <row r="2655" spans="1:4" x14ac:dyDescent="0.25">
      <c r="A2655" t="str">
        <f>T("   851310")</f>
        <v xml:space="preserve">   851310</v>
      </c>
      <c r="B2655" t="str">
        <f>T("   Lampes électriques portatives, destinées à fonctionner au moyen de leur propre source d'énergie")</f>
        <v xml:space="preserve">   Lampes électriques portatives, destinées à fonctionner au moyen de leur propre source d'énergie</v>
      </c>
      <c r="C2655">
        <v>59788074</v>
      </c>
      <c r="D2655">
        <v>210669</v>
      </c>
    </row>
    <row r="2656" spans="1:4" x14ac:dyDescent="0.25">
      <c r="A2656" t="str">
        <f>T("   851430")</f>
        <v xml:space="preserve">   851430</v>
      </c>
      <c r="B2656" t="str">
        <f>T("   Fours électriques industriels ou de laboratoires (autres que les fours à résistance, à chauffage indirect, les fours fonctionnant par induction ou par perte diélectrique et les étuves)")</f>
        <v xml:space="preserve">   Fours électriques industriels ou de laboratoires (autres que les fours à résistance, à chauffage indirect, les fours fonctionnant par induction ou par perte diélectrique et les étuves)</v>
      </c>
      <c r="C2656">
        <v>1155159</v>
      </c>
      <c r="D2656">
        <v>5750</v>
      </c>
    </row>
    <row r="2657" spans="1:4" x14ac:dyDescent="0.25">
      <c r="A2657" t="str">
        <f>T("   851529")</f>
        <v xml:space="preserve">   851529</v>
      </c>
      <c r="B2657" t="str">
        <f>T("   MACHINES ET APPAREILS POUR LE SOUDAGE DES MÉTAUX PAR RÉSISTANCE, NON-AUTOMATIQUES")</f>
        <v xml:space="preserve">   MACHINES ET APPAREILS POUR LE SOUDAGE DES MÉTAUX PAR RÉSISTANCE, NON-AUTOMATIQUES</v>
      </c>
      <c r="C2657">
        <v>569820</v>
      </c>
      <c r="D2657">
        <v>50</v>
      </c>
    </row>
    <row r="2658" spans="1:4" x14ac:dyDescent="0.25">
      <c r="A2658" t="str">
        <f>T("   851539")</f>
        <v xml:space="preserve">   851539</v>
      </c>
      <c r="B2658" t="str">
        <f>T("   MACHINES ET APPAREILS POUR LE SOUDAGE DES MÉTAUX À L'ARC OU AU JET DE PLASMA, NON-AUTOMATIQUES")</f>
        <v xml:space="preserve">   MACHINES ET APPAREILS POUR LE SOUDAGE DES MÉTAUX À L'ARC OU AU JET DE PLASMA, NON-AUTOMATIQUES</v>
      </c>
      <c r="C2658">
        <v>1454827</v>
      </c>
      <c r="D2658">
        <v>1250</v>
      </c>
    </row>
    <row r="2659" spans="1:4" x14ac:dyDescent="0.25">
      <c r="A2659" t="str">
        <f>T("   851580")</f>
        <v xml:space="preserve">   851580</v>
      </c>
      <c r="B2659" t="s">
        <v>455</v>
      </c>
      <c r="C2659">
        <v>1716188</v>
      </c>
      <c r="D2659">
        <v>1765</v>
      </c>
    </row>
    <row r="2660" spans="1:4" x14ac:dyDescent="0.25">
      <c r="A2660" t="str">
        <f>T("   851610")</f>
        <v xml:space="preserve">   851610</v>
      </c>
      <c r="B2660" t="str">
        <f>T("   Chauffe-eau et thermoplongeurs électriques")</f>
        <v xml:space="preserve">   Chauffe-eau et thermoplongeurs électriques</v>
      </c>
      <c r="C2660">
        <v>11892305</v>
      </c>
      <c r="D2660">
        <v>12380</v>
      </c>
    </row>
    <row r="2661" spans="1:4" x14ac:dyDescent="0.25">
      <c r="A2661" t="str">
        <f>T("   851631")</f>
        <v xml:space="preserve">   851631</v>
      </c>
      <c r="B2661" t="str">
        <f>T("   Sèche-cheveux électriques")</f>
        <v xml:space="preserve">   Sèche-cheveux électriques</v>
      </c>
      <c r="C2661">
        <v>59201</v>
      </c>
      <c r="D2661">
        <v>160</v>
      </c>
    </row>
    <row r="2662" spans="1:4" x14ac:dyDescent="0.25">
      <c r="A2662" t="str">
        <f>T("   851632")</f>
        <v xml:space="preserve">   851632</v>
      </c>
      <c r="B2662" t="str">
        <f>T("   Appareils électrothermiques pour la coiffure (autres que sèche-cheveux)")</f>
        <v xml:space="preserve">   Appareils électrothermiques pour la coiffure (autres que sèche-cheveux)</v>
      </c>
      <c r="C2662">
        <v>237279</v>
      </c>
      <c r="D2662">
        <v>570</v>
      </c>
    </row>
    <row r="2663" spans="1:4" x14ac:dyDescent="0.25">
      <c r="A2663" t="str">
        <f>T("   851640")</f>
        <v xml:space="preserve">   851640</v>
      </c>
      <c r="B2663" t="str">
        <f>T("   Fers à repasser électriques")</f>
        <v xml:space="preserve">   Fers à repasser électriques</v>
      </c>
      <c r="C2663">
        <v>1183150</v>
      </c>
      <c r="D2663">
        <v>1934</v>
      </c>
    </row>
    <row r="2664" spans="1:4" x14ac:dyDescent="0.25">
      <c r="A2664" t="str">
        <f>T("   851650")</f>
        <v xml:space="preserve">   851650</v>
      </c>
      <c r="B2664" t="str">
        <f>T("   Fours à micro-ondes")</f>
        <v xml:space="preserve">   Fours à micro-ondes</v>
      </c>
      <c r="C2664">
        <v>433287</v>
      </c>
      <c r="D2664">
        <v>261</v>
      </c>
    </row>
    <row r="2665" spans="1:4" x14ac:dyDescent="0.25">
      <c r="A2665" t="str">
        <f>T("   851660")</f>
        <v xml:space="preserve">   851660</v>
      </c>
      <c r="B2665" t="str">
        <f>T("   Fours, cuisinières, réchauds, tables de cuisson, grils et rôtissoires électriques, pour usages domestiques (sauf fours destinés au chauffage des locaux et fours à micro-ondes)")</f>
        <v xml:space="preserve">   Fours, cuisinières, réchauds, tables de cuisson, grils et rôtissoires électriques, pour usages domestiques (sauf fours destinés au chauffage des locaux et fours à micro-ondes)</v>
      </c>
      <c r="C2665">
        <v>8019685</v>
      </c>
      <c r="D2665">
        <v>23932</v>
      </c>
    </row>
    <row r="2666" spans="1:4" x14ac:dyDescent="0.25">
      <c r="A2666" t="str">
        <f>T("   851671")</f>
        <v xml:space="preserve">   851671</v>
      </c>
      <c r="B2666" t="str">
        <f>T("   Appareils électriques pour la préparation du café ou du thé, pour usages domestiques")</f>
        <v xml:space="preserve">   Appareils électriques pour la préparation du café ou du thé, pour usages domestiques</v>
      </c>
      <c r="C2666">
        <v>3221</v>
      </c>
      <c r="D2666">
        <v>8</v>
      </c>
    </row>
    <row r="2667" spans="1:4" x14ac:dyDescent="0.25">
      <c r="A2667" t="str">
        <f>T("   851679")</f>
        <v xml:space="preserve">   851679</v>
      </c>
      <c r="B2667" t="s">
        <v>456</v>
      </c>
      <c r="C2667">
        <v>4119951</v>
      </c>
      <c r="D2667">
        <v>12414</v>
      </c>
    </row>
    <row r="2668" spans="1:4" x14ac:dyDescent="0.25">
      <c r="A2668" t="str">
        <f>T("   851719")</f>
        <v xml:space="preserve">   851719</v>
      </c>
      <c r="B2668" t="str">
        <f>T("   Postes téléphoniques d'usagers pour la téléphonie par fil; visiophones (sauf postes téléphoniques d'usagers par fil à combinés sans fil et parlophones)")</f>
        <v xml:space="preserve">   Postes téléphoniques d'usagers pour la téléphonie par fil; visiophones (sauf postes téléphoniques d'usagers par fil à combinés sans fil et parlophones)</v>
      </c>
      <c r="C2668">
        <v>233479299</v>
      </c>
      <c r="D2668">
        <v>9009</v>
      </c>
    </row>
    <row r="2669" spans="1:4" x14ac:dyDescent="0.25">
      <c r="A2669" t="str">
        <f>T("   851750")</f>
        <v xml:space="preserve">   851750</v>
      </c>
      <c r="B2669" t="s">
        <v>457</v>
      </c>
      <c r="C2669">
        <v>11426266</v>
      </c>
      <c r="D2669">
        <v>533</v>
      </c>
    </row>
    <row r="2670" spans="1:4" x14ac:dyDescent="0.25">
      <c r="A2670" t="str">
        <f>T("   851780")</f>
        <v xml:space="preserve">   851780</v>
      </c>
      <c r="B2670" t="s">
        <v>458</v>
      </c>
      <c r="C2670">
        <v>1447702768</v>
      </c>
      <c r="D2670">
        <v>39978.400000000001</v>
      </c>
    </row>
    <row r="2671" spans="1:4" x14ac:dyDescent="0.25">
      <c r="A2671" t="str">
        <f>T("   851790")</f>
        <v xml:space="preserve">   851790</v>
      </c>
      <c r="B2671" t="s">
        <v>459</v>
      </c>
      <c r="C2671">
        <v>5313608</v>
      </c>
      <c r="D2671">
        <v>15790</v>
      </c>
    </row>
    <row r="2672" spans="1:4" x14ac:dyDescent="0.25">
      <c r="A2672" t="str">
        <f>T("   851810")</f>
        <v xml:space="preserve">   851810</v>
      </c>
      <c r="B2672" t="str">
        <f>T("   Microphones et leurs supports (autres que sans fil, avec émetteur incorporé)")</f>
        <v xml:space="preserve">   Microphones et leurs supports (autres que sans fil, avec émetteur incorporé)</v>
      </c>
      <c r="C2672">
        <v>250701</v>
      </c>
      <c r="D2672">
        <v>302</v>
      </c>
    </row>
    <row r="2673" spans="1:4" x14ac:dyDescent="0.25">
      <c r="A2673" t="str">
        <f>T("   851821")</f>
        <v xml:space="preserve">   851821</v>
      </c>
      <c r="B2673" t="str">
        <f>T("   Haut-parleur unique monté dans son enceinte")</f>
        <v xml:space="preserve">   Haut-parleur unique monté dans son enceinte</v>
      </c>
      <c r="C2673">
        <v>2395000</v>
      </c>
      <c r="D2673">
        <v>7893</v>
      </c>
    </row>
    <row r="2674" spans="1:4" x14ac:dyDescent="0.25">
      <c r="A2674" t="str">
        <f>T("   851822")</f>
        <v xml:space="preserve">   851822</v>
      </c>
      <c r="B2674" t="str">
        <f>T("   Haut-parleurs multiples montés dans la même enceinte")</f>
        <v xml:space="preserve">   Haut-parleurs multiples montés dans la même enceinte</v>
      </c>
      <c r="C2674">
        <v>14999747</v>
      </c>
      <c r="D2674">
        <v>25524</v>
      </c>
    </row>
    <row r="2675" spans="1:4" x14ac:dyDescent="0.25">
      <c r="A2675" t="str">
        <f>T("   851829")</f>
        <v xml:space="preserve">   851829</v>
      </c>
      <c r="B2675" t="str">
        <f>T("   Haut-parleurs sans enceinte")</f>
        <v xml:space="preserve">   Haut-parleurs sans enceinte</v>
      </c>
      <c r="C2675">
        <v>61450564</v>
      </c>
      <c r="D2675">
        <v>158028</v>
      </c>
    </row>
    <row r="2676" spans="1:4" x14ac:dyDescent="0.25">
      <c r="A2676" t="str">
        <f>T("   851830")</f>
        <v xml:space="preserve">   851830</v>
      </c>
      <c r="B2676" t="s">
        <v>460</v>
      </c>
      <c r="C2676">
        <v>3286747</v>
      </c>
      <c r="D2676">
        <v>12710</v>
      </c>
    </row>
    <row r="2677" spans="1:4" x14ac:dyDescent="0.25">
      <c r="A2677" t="str">
        <f>T("   851840")</f>
        <v xml:space="preserve">   851840</v>
      </c>
      <c r="B2677" t="str">
        <f>T("   Amplificateurs électriques d'audiofréquence")</f>
        <v xml:space="preserve">   Amplificateurs électriques d'audiofréquence</v>
      </c>
      <c r="C2677">
        <v>1000000</v>
      </c>
      <c r="D2677">
        <v>6750</v>
      </c>
    </row>
    <row r="2678" spans="1:4" x14ac:dyDescent="0.25">
      <c r="A2678" t="str">
        <f>T("   851850")</f>
        <v xml:space="preserve">   851850</v>
      </c>
      <c r="B2678" t="str">
        <f>T("   Appareils électriques d'amplification du son")</f>
        <v xml:space="preserve">   Appareils électriques d'amplification du son</v>
      </c>
      <c r="C2678">
        <v>59201</v>
      </c>
      <c r="D2678">
        <v>95</v>
      </c>
    </row>
    <row r="2679" spans="1:4" x14ac:dyDescent="0.25">
      <c r="A2679" t="str">
        <f>T("   851890")</f>
        <v xml:space="preserve">   851890</v>
      </c>
      <c r="B2679" t="str">
        <f>T("   Parties de microphones, haut-parleurs, casques d'écoute et écouteurs électro-acoustiques, amplificateurs électriques d'audiofréquence ou appareils électriques d'amplification du son, n.d.a.")</f>
        <v xml:space="preserve">   Parties de microphones, haut-parleurs, casques d'écoute et écouteurs électro-acoustiques, amplificateurs électriques d'audiofréquence ou appareils électriques d'amplification du son, n.d.a.</v>
      </c>
      <c r="C2679">
        <v>2167313</v>
      </c>
      <c r="D2679">
        <v>4445</v>
      </c>
    </row>
    <row r="2680" spans="1:4" x14ac:dyDescent="0.25">
      <c r="A2680" t="str">
        <f>T("   851992")</f>
        <v xml:space="preserve">   851992</v>
      </c>
      <c r="B2680" t="str">
        <f>T("   Lecteurs de cassettes de poche [dimensions &lt;= 170 mm x 100 mm x 45 mm], avec amplificateur incorporé, sans haut-parleur incorporé, pouvant fonctionner sans source d'énergie électrique extérieure")</f>
        <v xml:space="preserve">   Lecteurs de cassettes de poche [dimensions &lt;= 170 mm x 100 mm x 45 mm], avec amplificateur incorporé, sans haut-parleur incorporé, pouvant fonctionner sans source d'énergie électrique extérieure</v>
      </c>
      <c r="C2680">
        <v>98668</v>
      </c>
      <c r="D2680">
        <v>80</v>
      </c>
    </row>
    <row r="2681" spans="1:4" x14ac:dyDescent="0.25">
      <c r="A2681" t="str">
        <f>T("   851999")</f>
        <v xml:space="preserve">   851999</v>
      </c>
      <c r="B2681" t="str">
        <f>T("   Appareils de reproduction du son, n'incorporant pas de dispositif d'enregistrement du son (autres que tourne-disques, électrophones commandés par l'introduction d'une pièce de monnaie ou d'un jeton, machines à dicter et lecteurs de cassettes)")</f>
        <v xml:space="preserve">   Appareils de reproduction du son, n'incorporant pas de dispositif d'enregistrement du son (autres que tourne-disques, électrophones commandés par l'introduction d'une pièce de monnaie ou d'un jeton, machines à dicter et lecteurs de cassettes)</v>
      </c>
      <c r="C2681">
        <v>7610000</v>
      </c>
      <c r="D2681">
        <v>18308</v>
      </c>
    </row>
    <row r="2682" spans="1:4" x14ac:dyDescent="0.25">
      <c r="A2682" t="str">
        <f>T("   852033")</f>
        <v xml:space="preserve">   852033</v>
      </c>
      <c r="B2682" t="str">
        <f>T("   Appareils d'enregistrement et de reproduction du son, à cassettes (autres que numériques)")</f>
        <v xml:space="preserve">   Appareils d'enregistrement et de reproduction du son, à cassettes (autres que numériques)</v>
      </c>
      <c r="C2682">
        <v>59201</v>
      </c>
      <c r="D2682">
        <v>60</v>
      </c>
    </row>
    <row r="2683" spans="1:4" x14ac:dyDescent="0.25">
      <c r="A2683" t="str">
        <f>T("   852039")</f>
        <v xml:space="preserve">   852039</v>
      </c>
      <c r="B2683" t="str">
        <f>T("   Appareils d'enregistrement et de reproduction du son, sur bandes magnétiques (autres que numériques, machines à dicter ne pouvant fonctionner qu'avec source d'énergie extérieure, répondeurs téléphoniques et enregistreurs à cassettes)")</f>
        <v xml:space="preserve">   Appareils d'enregistrement et de reproduction du son, sur bandes magnétiques (autres que numériques, machines à dicter ne pouvant fonctionner qu'avec source d'énergie extérieure, répondeurs téléphoniques et enregistreurs à cassettes)</v>
      </c>
      <c r="C2683">
        <v>98668</v>
      </c>
      <c r="D2683">
        <v>90</v>
      </c>
    </row>
    <row r="2684" spans="1:4" x14ac:dyDescent="0.25">
      <c r="A2684" t="str">
        <f>T("   852110")</f>
        <v xml:space="preserve">   852110</v>
      </c>
      <c r="B2684" t="s">
        <v>461</v>
      </c>
      <c r="C2684">
        <v>13550000</v>
      </c>
      <c r="D2684">
        <v>48080</v>
      </c>
    </row>
    <row r="2685" spans="1:4" x14ac:dyDescent="0.25">
      <c r="A2685" t="str">
        <f>T("   852190")</f>
        <v xml:space="preserve">   852190</v>
      </c>
      <c r="B2685" t="s">
        <v>462</v>
      </c>
      <c r="C2685">
        <v>32087178</v>
      </c>
      <c r="D2685">
        <v>85649</v>
      </c>
    </row>
    <row r="2686" spans="1:4" x14ac:dyDescent="0.25">
      <c r="A2686" t="str">
        <f>T("   852290")</f>
        <v xml:space="preserve">   852290</v>
      </c>
      <c r="B2686" t="s">
        <v>463</v>
      </c>
      <c r="C2686">
        <v>4000000</v>
      </c>
      <c r="D2686">
        <v>16940</v>
      </c>
    </row>
    <row r="2687" spans="1:4" x14ac:dyDescent="0.25">
      <c r="A2687" t="str">
        <f>T("   852390")</f>
        <v xml:space="preserve">   852390</v>
      </c>
      <c r="B2687" t="str">
        <f>T("   SUPPORTS PRÉPARÉS POUR L'ENREGISTREMENT DU SON OU POUR ENREGISTREMENTS ANALOGUES, NON-ENREGISTRÉS (AUTRES QUE BANDES ET DISQUES MAGNÉTIQUES, CARTES MUNIES D'UNE PISTE MAGNÉTIQUE ET PRODUITS DU CHAPITRE 37)")</f>
        <v xml:space="preserve">   SUPPORTS PRÉPARÉS POUR L'ENREGISTREMENT DU SON OU POUR ENREGISTREMENTS ANALOGUES, NON-ENREGISTRÉS (AUTRES QUE BANDES ET DISQUES MAGNÉTIQUES, CARTES MUNIES D'UNE PISTE MAGNÉTIQUE ET PRODUITS DU CHAPITRE 37)</v>
      </c>
      <c r="C2687">
        <v>116105</v>
      </c>
      <c r="D2687">
        <v>75</v>
      </c>
    </row>
    <row r="2688" spans="1:4" x14ac:dyDescent="0.25">
      <c r="A2688" t="str">
        <f>T("   852439")</f>
        <v xml:space="preserve">   852439</v>
      </c>
      <c r="B2688" t="str">
        <f>T("   Disques enregistrés pour systèmes de lecture optique par faisceau laser, pour la reproduction du son et de l'image ou de l'image uniquement")</f>
        <v xml:space="preserve">   Disques enregistrés pour systèmes de lecture optique par faisceau laser, pour la reproduction du son et de l'image ou de l'image uniquement</v>
      </c>
      <c r="C2688">
        <v>500000</v>
      </c>
      <c r="D2688">
        <v>25</v>
      </c>
    </row>
    <row r="2689" spans="1:4" x14ac:dyDescent="0.25">
      <c r="A2689" t="str">
        <f>T("   852499")</f>
        <v xml:space="preserve">   852499</v>
      </c>
      <c r="B2689" t="s">
        <v>465</v>
      </c>
      <c r="C2689">
        <v>29418489</v>
      </c>
      <c r="D2689">
        <v>51616</v>
      </c>
    </row>
    <row r="2690" spans="1:4" x14ac:dyDescent="0.25">
      <c r="A2690" t="str">
        <f>T("   852520")</f>
        <v xml:space="preserve">   852520</v>
      </c>
      <c r="B2690" t="str">
        <f>T("   Appareils d'émission incorporant un appareil de réception, pour la radiotéléphonie, la radiotélégraphie, la radiodiffusion ou la télévision")</f>
        <v xml:space="preserve">   Appareils d'émission incorporant un appareil de réception, pour la radiotéléphonie, la radiotélégraphie, la radiodiffusion ou la télévision</v>
      </c>
      <c r="C2690">
        <v>419166311</v>
      </c>
      <c r="D2690">
        <v>33116</v>
      </c>
    </row>
    <row r="2691" spans="1:4" x14ac:dyDescent="0.25">
      <c r="A2691" t="str">
        <f>T("   852530")</f>
        <v xml:space="preserve">   852530</v>
      </c>
      <c r="B2691" t="str">
        <f>T("   Caméras de télévision (à l'excl. de caméscopes)")</f>
        <v xml:space="preserve">   Caméras de télévision (à l'excl. de caméscopes)</v>
      </c>
      <c r="C2691">
        <v>833069</v>
      </c>
      <c r="D2691">
        <v>697</v>
      </c>
    </row>
    <row r="2692" spans="1:4" x14ac:dyDescent="0.25">
      <c r="A2692" t="str">
        <f>T("   852540")</f>
        <v xml:space="preserve">   852540</v>
      </c>
      <c r="B2692" t="str">
        <f>T("   Appareils de prise de vues fixes vidéo et autres caméscopes; appareils photographiques numériques")</f>
        <v xml:space="preserve">   Appareils de prise de vues fixes vidéo et autres caméscopes; appareils photographiques numériques</v>
      </c>
      <c r="C2692">
        <v>213121</v>
      </c>
      <c r="D2692">
        <v>26</v>
      </c>
    </row>
    <row r="2693" spans="1:4" x14ac:dyDescent="0.25">
      <c r="A2693" t="str">
        <f>T("   852691")</f>
        <v xml:space="preserve">   852691</v>
      </c>
      <c r="B2693" t="str">
        <f>T("   Appareils de radionavigation")</f>
        <v xml:space="preserve">   Appareils de radionavigation</v>
      </c>
      <c r="C2693">
        <v>184310070</v>
      </c>
      <c r="D2693">
        <v>41518</v>
      </c>
    </row>
    <row r="2694" spans="1:4" x14ac:dyDescent="0.25">
      <c r="A2694" t="str">
        <f>T("   852713")</f>
        <v xml:space="preserve">   852713</v>
      </c>
      <c r="B2694" t="str">
        <f>T("   RÉCEPTEURS DE RADIODIFFUSION POUVANT FONCTIONNER SANS SOURCE D'ÉNERGIE EXTÉRIEURE, COMBINÉS À UN APPAREIL D'ENREGISTREMENT OU DE REPRODUCTION DU SON (À L'EXCL. DES RADIOCASSETTES DE POCHE)")</f>
        <v xml:space="preserve">   RÉCEPTEURS DE RADIODIFFUSION POUVANT FONCTIONNER SANS SOURCE D'ÉNERGIE EXTÉRIEURE, COMBINÉS À UN APPAREIL D'ENREGISTREMENT OU DE REPRODUCTION DU SON (À L'EXCL. DES RADIOCASSETTES DE POCHE)</v>
      </c>
      <c r="C2694">
        <v>3617595</v>
      </c>
      <c r="D2694">
        <v>10343</v>
      </c>
    </row>
    <row r="2695" spans="1:4" x14ac:dyDescent="0.25">
      <c r="A2695" t="str">
        <f>T("   852719")</f>
        <v xml:space="preserve">   852719</v>
      </c>
      <c r="B2695" t="str">
        <f>T("   Récepteurs de radiodiffusion pouvant fonctionner sans source d'énergie extérieure, y.c. les appareils recevant également la radiotéléphonie ou la radiotélégraphie, non combinés à un appareil d'enregistrement et de reproduction du son")</f>
        <v xml:space="preserve">   Récepteurs de radiodiffusion pouvant fonctionner sans source d'énergie extérieure, y.c. les appareils recevant également la radiotéléphonie ou la radiotélégraphie, non combinés à un appareil d'enregistrement et de reproduction du son</v>
      </c>
      <c r="C2695">
        <v>14890426</v>
      </c>
      <c r="D2695">
        <v>36319</v>
      </c>
    </row>
    <row r="2696" spans="1:4" x14ac:dyDescent="0.25">
      <c r="A2696" t="str">
        <f>T("   852721")</f>
        <v xml:space="preserve">   852721</v>
      </c>
      <c r="B2696" t="str">
        <f>T("   RÉCEPTEURS DE RADIODIFFUSION NE POUVANT FONCTIONNER QU'AVEC UNE SOURCE D'ÉNERGIE EXTÉRIEURE, POUR VÉHICULES AUTOMOBILES, COMBINÉS À UN APPAREIL D'ENREGISTREMENT OU DE REPRODUCTION DU SON")</f>
        <v xml:space="preserve">   RÉCEPTEURS DE RADIODIFFUSION NE POUVANT FONCTIONNER QU'AVEC UNE SOURCE D'ÉNERGIE EXTÉRIEURE, POUR VÉHICULES AUTOMOBILES, COMBINÉS À UN APPAREIL D'ENREGISTREMENT OU DE REPRODUCTION DU SON</v>
      </c>
      <c r="C2696">
        <v>2905</v>
      </c>
      <c r="D2696">
        <v>6</v>
      </c>
    </row>
    <row r="2697" spans="1:4" x14ac:dyDescent="0.25">
      <c r="A2697" t="str">
        <f>T("   852729")</f>
        <v xml:space="preserve">   852729</v>
      </c>
      <c r="B2697" t="s">
        <v>466</v>
      </c>
      <c r="C2697">
        <v>13163</v>
      </c>
      <c r="D2697">
        <v>21</v>
      </c>
    </row>
    <row r="2698" spans="1:4" x14ac:dyDescent="0.25">
      <c r="A2698" t="str">
        <f>T("   852731")</f>
        <v xml:space="preserve">   852731</v>
      </c>
      <c r="B2698" t="s">
        <v>467</v>
      </c>
      <c r="C2698">
        <v>612523</v>
      </c>
      <c r="D2698">
        <v>546</v>
      </c>
    </row>
    <row r="2699" spans="1:4" x14ac:dyDescent="0.25">
      <c r="A2699" t="str">
        <f>T("   852739")</f>
        <v xml:space="preserve">   852739</v>
      </c>
      <c r="B2699" t="s">
        <v>468</v>
      </c>
      <c r="C2699">
        <v>365947</v>
      </c>
      <c r="D2699">
        <v>1751</v>
      </c>
    </row>
    <row r="2700" spans="1:4" x14ac:dyDescent="0.25">
      <c r="A2700" t="str">
        <f>T("   852790")</f>
        <v xml:space="preserve">   852790</v>
      </c>
      <c r="B2700" t="str">
        <f>T("   Récepteurs pour la radiotéléphonie, la radiotélégraphie ou la radiodiffusion commerciale")</f>
        <v xml:space="preserve">   Récepteurs pour la radiotéléphonie, la radiotélégraphie ou la radiodiffusion commerciale</v>
      </c>
      <c r="C2700">
        <v>1585459</v>
      </c>
      <c r="D2700">
        <v>3622</v>
      </c>
    </row>
    <row r="2701" spans="1:4" x14ac:dyDescent="0.25">
      <c r="A2701" t="str">
        <f>T("   852812")</f>
        <v xml:space="preserve">   852812</v>
      </c>
      <c r="B2701"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2701">
        <v>356474215</v>
      </c>
      <c r="D2701">
        <v>661698.80000000005</v>
      </c>
    </row>
    <row r="2702" spans="1:4" x14ac:dyDescent="0.25">
      <c r="A2702" t="str">
        <f>T("   852813")</f>
        <v xml:space="preserve">   852813</v>
      </c>
      <c r="B2702" t="str">
        <f>T("   Appareils récepteurs pour la télévision en noir et blanc ou en autres monochromes, même incorporant un appareil récepteur de radiodiffusion ou un appareil d'enregistrement ou de reproduction du son ou des images")</f>
        <v xml:space="preserve">   Appareils récepteurs pour la télévision en noir et blanc ou en autres monochromes, même incorporant un appareil récepteur de radiodiffusion ou un appareil d'enregistrement ou de reproduction du son ou des images</v>
      </c>
      <c r="C2702">
        <v>1078944</v>
      </c>
      <c r="D2702">
        <v>3553</v>
      </c>
    </row>
    <row r="2703" spans="1:4" x14ac:dyDescent="0.25">
      <c r="A2703" t="str">
        <f>T("   852821")</f>
        <v xml:space="preserve">   852821</v>
      </c>
      <c r="B2703" t="str">
        <f>T("   Moniteurs vidéo en couleurs")</f>
        <v xml:space="preserve">   Moniteurs vidéo en couleurs</v>
      </c>
      <c r="C2703">
        <v>713790</v>
      </c>
      <c r="D2703">
        <v>965</v>
      </c>
    </row>
    <row r="2704" spans="1:4" x14ac:dyDescent="0.25">
      <c r="A2704" t="str">
        <f>T("   852910")</f>
        <v xml:space="preserve">   852910</v>
      </c>
      <c r="B2704"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2704">
        <v>22331977</v>
      </c>
      <c r="D2704">
        <v>36435</v>
      </c>
    </row>
    <row r="2705" spans="1:4" x14ac:dyDescent="0.25">
      <c r="A2705" t="str">
        <f>T("   852990")</f>
        <v xml:space="preserve">   852990</v>
      </c>
      <c r="B2705" t="s">
        <v>471</v>
      </c>
      <c r="C2705">
        <v>21824131</v>
      </c>
      <c r="D2705">
        <v>27264</v>
      </c>
    </row>
    <row r="2706" spans="1:4" x14ac:dyDescent="0.25">
      <c r="A2706" t="str">
        <f>T("   853110")</f>
        <v xml:space="preserve">   853110</v>
      </c>
      <c r="B2706" t="str">
        <f>T("   Avertisseurs électriques pour la protection contre le vol ou l'incendie et appareils simil.")</f>
        <v xml:space="preserve">   Avertisseurs électriques pour la protection contre le vol ou l'incendie et appareils simil.</v>
      </c>
      <c r="C2706">
        <v>220501</v>
      </c>
      <c r="D2706">
        <v>12</v>
      </c>
    </row>
    <row r="2707" spans="1:4" x14ac:dyDescent="0.25">
      <c r="A2707" t="str">
        <f>T("   853120")</f>
        <v xml:space="preserve">   853120</v>
      </c>
      <c r="B2707" t="str">
        <f>T("   Panneaux indicateurs avec dispositifs à cristaux liquides [LCD] ou à diodes émettrices de lumière [LED] (autres que pour les véhicules automobiles, les bicyclettes ou les voies de communication)")</f>
        <v xml:space="preserve">   Panneaux indicateurs avec dispositifs à cristaux liquides [LCD] ou à diodes émettrices de lumière [LED] (autres que pour les véhicules automobiles, les bicyclettes ou les voies de communication)</v>
      </c>
      <c r="C2707">
        <v>5053296</v>
      </c>
      <c r="D2707">
        <v>9236</v>
      </c>
    </row>
    <row r="2708" spans="1:4" x14ac:dyDescent="0.25">
      <c r="A2708" t="str">
        <f>T("   853180")</f>
        <v xml:space="preserve">   853180</v>
      </c>
      <c r="B2708" t="s">
        <v>472</v>
      </c>
      <c r="C2708">
        <v>7797906</v>
      </c>
      <c r="D2708">
        <v>8680</v>
      </c>
    </row>
    <row r="2709" spans="1:4" x14ac:dyDescent="0.25">
      <c r="A2709" t="str">
        <f>T("   853229")</f>
        <v xml:space="preserve">   853229</v>
      </c>
      <c r="B2709" t="str">
        <f>T("   Condensateurs fixes (autres que condensateurs au tantale, condensateurs électrolytiques à l'aluminium, condensateurs diélectriques en céramique, en papier et en matières plastiques et condensateurs de puissance)")</f>
        <v xml:space="preserve">   Condensateurs fixes (autres que condensateurs au tantale, condensateurs électrolytiques à l'aluminium, condensateurs diélectriques en céramique, en papier et en matières plastiques et condensateurs de puissance)</v>
      </c>
      <c r="C2709">
        <v>600002</v>
      </c>
      <c r="D2709">
        <v>500</v>
      </c>
    </row>
    <row r="2710" spans="1:4" x14ac:dyDescent="0.25">
      <c r="A2710" t="str">
        <f>T("   853290")</f>
        <v xml:space="preserve">   853290</v>
      </c>
      <c r="B2710" t="str">
        <f>T("   Parties de condensateurs électriques fixes, variables ou ajustables, n.d.a.")</f>
        <v xml:space="preserve">   Parties de condensateurs électriques fixes, variables ou ajustables, n.d.a.</v>
      </c>
      <c r="C2710">
        <v>2689704</v>
      </c>
      <c r="D2710">
        <v>300</v>
      </c>
    </row>
    <row r="2711" spans="1:4" x14ac:dyDescent="0.25">
      <c r="A2711" t="str">
        <f>T("   853521")</f>
        <v xml:space="preserve">   853521</v>
      </c>
      <c r="B2711" t="str">
        <f>T("   Disjoncteurs, pour une tension &lt; 72,5 kV mais &gt; 1.000 V")</f>
        <v xml:space="preserve">   Disjoncteurs, pour une tension &lt; 72,5 kV mais &gt; 1.000 V</v>
      </c>
      <c r="C2711">
        <v>6000000</v>
      </c>
      <c r="D2711">
        <v>3015</v>
      </c>
    </row>
    <row r="2712" spans="1:4" x14ac:dyDescent="0.25">
      <c r="A2712" t="str">
        <f>T("   853529")</f>
        <v xml:space="preserve">   853529</v>
      </c>
      <c r="B2712" t="str">
        <f>T("   Disjoncteurs, pour une tension &gt;= 72,5 kV")</f>
        <v xml:space="preserve">   Disjoncteurs, pour une tension &gt;= 72,5 kV</v>
      </c>
      <c r="C2712">
        <v>184502</v>
      </c>
      <c r="D2712">
        <v>1300</v>
      </c>
    </row>
    <row r="2713" spans="1:4" x14ac:dyDescent="0.25">
      <c r="A2713" t="str">
        <f>T("   853530")</f>
        <v xml:space="preserve">   853530</v>
      </c>
      <c r="B2713" t="str">
        <f>T("   Sectionneurs et interrupteurs, pour une tension &gt; 1.000 V")</f>
        <v xml:space="preserve">   Sectionneurs et interrupteurs, pour une tension &gt; 1.000 V</v>
      </c>
      <c r="C2713">
        <v>318357</v>
      </c>
      <c r="D2713">
        <v>2760</v>
      </c>
    </row>
    <row r="2714" spans="1:4" x14ac:dyDescent="0.25">
      <c r="A2714" t="str">
        <f>T("   853540")</f>
        <v xml:space="preserve">   853540</v>
      </c>
      <c r="B2714" t="str">
        <f>T("   Parafoudres, limiteurs de tension et étaleurs d'ondes, pour une tension &gt; 1.000 V")</f>
        <v xml:space="preserve">   Parafoudres, limiteurs de tension et étaleurs d'ondes, pour une tension &gt; 1.000 V</v>
      </c>
      <c r="C2714">
        <v>459753</v>
      </c>
      <c r="D2714">
        <v>25</v>
      </c>
    </row>
    <row r="2715" spans="1:4" x14ac:dyDescent="0.25">
      <c r="A2715" t="str">
        <f>T("   853590")</f>
        <v xml:space="preserve">   853590</v>
      </c>
      <c r="B2715" t="s">
        <v>473</v>
      </c>
      <c r="C2715">
        <v>104955587</v>
      </c>
      <c r="D2715">
        <v>367920.5</v>
      </c>
    </row>
    <row r="2716" spans="1:4" x14ac:dyDescent="0.25">
      <c r="A2716" t="str">
        <f>T("   853610")</f>
        <v xml:space="preserve">   853610</v>
      </c>
      <c r="B2716" t="str">
        <f>T("   Fusibles et coupe-circuit à fusibles, pour une tension &lt;= 1.000 V")</f>
        <v xml:space="preserve">   Fusibles et coupe-circuit à fusibles, pour une tension &lt;= 1.000 V</v>
      </c>
      <c r="C2716">
        <v>394447</v>
      </c>
      <c r="D2716">
        <v>795</v>
      </c>
    </row>
    <row r="2717" spans="1:4" x14ac:dyDescent="0.25">
      <c r="A2717" t="str">
        <f>T("   853620")</f>
        <v xml:space="preserve">   853620</v>
      </c>
      <c r="B2717" t="str">
        <f>T("   Disjoncteurs, pour une tension &lt;= 1.000 V")</f>
        <v xml:space="preserve">   Disjoncteurs, pour une tension &lt;= 1.000 V</v>
      </c>
      <c r="C2717">
        <v>2708971</v>
      </c>
      <c r="D2717">
        <v>6549</v>
      </c>
    </row>
    <row r="2718" spans="1:4" x14ac:dyDescent="0.25">
      <c r="A2718" t="str">
        <f>T("   853630")</f>
        <v xml:space="preserve">   853630</v>
      </c>
      <c r="B2718" t="str">
        <f>T("   APPAREILS POUR LA PROTECTION DES CIRCUITS ÉLECTRIQUES (SAUF FUSIBLES, COUPE-CIRCUIT À FUSIBLES ET DISJONCTEURS), POUR UNE TENSION &lt;= 1.000 V")</f>
        <v xml:space="preserve">   APPAREILS POUR LA PROTECTION DES CIRCUITS ÉLECTRIQUES (SAUF FUSIBLES, COUPE-CIRCUIT À FUSIBLES ET DISJONCTEURS), POUR UNE TENSION &lt;= 1.000 V</v>
      </c>
      <c r="C2718">
        <v>3109031</v>
      </c>
      <c r="D2718">
        <v>2940</v>
      </c>
    </row>
    <row r="2719" spans="1:4" x14ac:dyDescent="0.25">
      <c r="A2719" t="str">
        <f>T("   853641")</f>
        <v xml:space="preserve">   853641</v>
      </c>
      <c r="B2719" t="str">
        <f>T("   Relais pour une tension &lt;= 60 V")</f>
        <v xml:space="preserve">   Relais pour une tension &lt;= 60 V</v>
      </c>
      <c r="C2719">
        <v>142483</v>
      </c>
      <c r="D2719">
        <v>604</v>
      </c>
    </row>
    <row r="2720" spans="1:4" x14ac:dyDescent="0.25">
      <c r="A2720" t="str">
        <f>T("   853649")</f>
        <v xml:space="preserve">   853649</v>
      </c>
      <c r="B2720" t="str">
        <f>T("   Relais, pour une tension &gt; 60 V mais &lt;= 1.000 V")</f>
        <v xml:space="preserve">   Relais, pour une tension &gt; 60 V mais &lt;= 1.000 V</v>
      </c>
      <c r="C2720">
        <v>11642126</v>
      </c>
      <c r="D2720">
        <v>82022</v>
      </c>
    </row>
    <row r="2721" spans="1:4" x14ac:dyDescent="0.25">
      <c r="A2721" t="str">
        <f>T("   853650")</f>
        <v xml:space="preserve">   853650</v>
      </c>
      <c r="B2721" t="str">
        <f>T("   Interrupteurs, sectionneurs et commutateurs, pour une tension &lt;= 1.000 V (autres que relais et disjoncteurs)")</f>
        <v xml:space="preserve">   Interrupteurs, sectionneurs et commutateurs, pour une tension &lt;= 1.000 V (autres que relais et disjoncteurs)</v>
      </c>
      <c r="C2721">
        <v>17790649</v>
      </c>
      <c r="D2721">
        <v>40654</v>
      </c>
    </row>
    <row r="2722" spans="1:4" x14ac:dyDescent="0.25">
      <c r="A2722" t="str">
        <f>T("   853661")</f>
        <v xml:space="preserve">   853661</v>
      </c>
      <c r="B2722" t="str">
        <f>T("   Douilles pour lampes, pour une tension &lt;= 1.000 V")</f>
        <v xml:space="preserve">   Douilles pour lampes, pour une tension &lt;= 1.000 V</v>
      </c>
      <c r="C2722">
        <v>10380542</v>
      </c>
      <c r="D2722">
        <v>43570</v>
      </c>
    </row>
    <row r="2723" spans="1:4" x14ac:dyDescent="0.25">
      <c r="A2723" t="str">
        <f>T("   853669")</f>
        <v xml:space="preserve">   853669</v>
      </c>
      <c r="B2723" t="str">
        <f>T("   Fiches et prises de courant, pour une tension &lt;= 1.000 V (sauf douilles pour lampes)")</f>
        <v xml:space="preserve">   Fiches et prises de courant, pour une tension &lt;= 1.000 V (sauf douilles pour lampes)</v>
      </c>
      <c r="C2723">
        <v>14931575</v>
      </c>
      <c r="D2723">
        <v>48845</v>
      </c>
    </row>
    <row r="2724" spans="1:4" x14ac:dyDescent="0.25">
      <c r="A2724" t="str">
        <f>T("   853690")</f>
        <v xml:space="preserve">   853690</v>
      </c>
      <c r="B2724" t="s">
        <v>474</v>
      </c>
      <c r="C2724">
        <v>11370879</v>
      </c>
      <c r="D2724">
        <v>41458</v>
      </c>
    </row>
    <row r="2725" spans="1:4" x14ac:dyDescent="0.25">
      <c r="A2725" t="str">
        <f>T("   853710")</f>
        <v xml:space="preserve">   853710</v>
      </c>
      <c r="B2725"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2725">
        <v>64432817</v>
      </c>
      <c r="D2725">
        <v>45384</v>
      </c>
    </row>
    <row r="2726" spans="1:4" x14ac:dyDescent="0.25">
      <c r="A2726" t="str">
        <f>T("   853810")</f>
        <v xml:space="preserve">   853810</v>
      </c>
      <c r="B2726" t="str">
        <f>T("   Tableaux, panneaux, consoles, pupitres, armoires et autres supports pour articles du n° 8537, dépourvus de leurs appareils")</f>
        <v xml:space="preserve">   Tableaux, panneaux, consoles, pupitres, armoires et autres supports pour articles du n° 8537, dépourvus de leurs appareils</v>
      </c>
      <c r="C2726">
        <v>3142273</v>
      </c>
      <c r="D2726">
        <v>6372</v>
      </c>
    </row>
    <row r="2727" spans="1:4" x14ac:dyDescent="0.25">
      <c r="A2727" t="str">
        <f>T("   853890")</f>
        <v xml:space="preserve">   853890</v>
      </c>
      <c r="B2727" t="s">
        <v>475</v>
      </c>
      <c r="C2727">
        <v>5176272</v>
      </c>
      <c r="D2727">
        <v>13519</v>
      </c>
    </row>
    <row r="2728" spans="1:4" x14ac:dyDescent="0.25">
      <c r="A2728" t="str">
        <f>T("   853922")</f>
        <v xml:space="preserve">   853922</v>
      </c>
      <c r="B2728" t="str">
        <f>T("   Lampes et tubes à incandescence, puissance &lt;= 200 W, tension &gt; 100 V (autres que lampes et tubes halogènes, au tungstène et lampes à rayons ultraviolets ou infrarouges)")</f>
        <v xml:space="preserve">   Lampes et tubes à incandescence, puissance &lt;= 200 W, tension &gt; 100 V (autres que lampes et tubes halogènes, au tungstène et lampes à rayons ultraviolets ou infrarouges)</v>
      </c>
      <c r="C2728">
        <v>988203</v>
      </c>
      <c r="D2728">
        <v>2135</v>
      </c>
    </row>
    <row r="2729" spans="1:4" x14ac:dyDescent="0.25">
      <c r="A2729" t="str">
        <f>T("   853929")</f>
        <v xml:space="preserve">   853929</v>
      </c>
      <c r="B2729" t="str">
        <f>T("   Lampes et tubes à incandescence électriques (autres que lampes et tubes halogènes, au tungstène, lampes d'une puissance &lt;= 200 W et pour une tension &gt; 100 V, et lampes à rayons ultraviolets ou infrarouges)")</f>
        <v xml:space="preserve">   Lampes et tubes à incandescence électriques (autres que lampes et tubes halogènes, au tungstène, lampes d'une puissance &lt;= 200 W et pour une tension &gt; 100 V, et lampes à rayons ultraviolets ou infrarouges)</v>
      </c>
      <c r="C2729">
        <v>2162076</v>
      </c>
      <c r="D2729">
        <v>5787</v>
      </c>
    </row>
    <row r="2730" spans="1:4" x14ac:dyDescent="0.25">
      <c r="A2730" t="str">
        <f>T("   853931")</f>
        <v xml:space="preserve">   853931</v>
      </c>
      <c r="B2730" t="str">
        <f>T("   Lampes et tubes à décharge, fluorescents, à cathode chaude")</f>
        <v xml:space="preserve">   Lampes et tubes à décharge, fluorescents, à cathode chaude</v>
      </c>
      <c r="C2730">
        <v>45426335</v>
      </c>
      <c r="D2730">
        <v>98035</v>
      </c>
    </row>
    <row r="2731" spans="1:4" x14ac:dyDescent="0.25">
      <c r="A2731" t="str">
        <f>T("   853939")</f>
        <v xml:space="preserve">   853939</v>
      </c>
      <c r="B2731" t="str">
        <f>T("   Lampes et tubes à décharge (autres que fluorescents, à cathode chaude, à vapeur de mercure ou de sodium, à halogénure métallique et qu'à rayons ultraviolets)")</f>
        <v xml:space="preserve">   Lampes et tubes à décharge (autres que fluorescents, à cathode chaude, à vapeur de mercure ou de sodium, à halogénure métallique et qu'à rayons ultraviolets)</v>
      </c>
      <c r="C2731">
        <v>78255292</v>
      </c>
      <c r="D2731">
        <v>354906</v>
      </c>
    </row>
    <row r="2732" spans="1:4" x14ac:dyDescent="0.25">
      <c r="A2732" t="str">
        <f>T("   853949")</f>
        <v xml:space="preserve">   853949</v>
      </c>
      <c r="B2732" t="str">
        <f>T("   Lampes et tubes à rayons ultraviolets ou infrarouges")</f>
        <v xml:space="preserve">   Lampes et tubes à rayons ultraviolets ou infrarouges</v>
      </c>
      <c r="C2732">
        <v>16189983</v>
      </c>
      <c r="D2732">
        <v>50791</v>
      </c>
    </row>
    <row r="2733" spans="1:4" x14ac:dyDescent="0.25">
      <c r="A2733" t="str">
        <f>T("   853990")</f>
        <v xml:space="preserve">   853990</v>
      </c>
      <c r="B2733" t="str">
        <f>T("   Parties de lampes et de tubes à incandescence ou à décharge, de phares et projecteurs scellés, de lampes à rayons ultraviolets et infrarouges et de lampes à arc, n.d.a.")</f>
        <v xml:space="preserve">   Parties de lampes et de tubes à incandescence ou à décharge, de phares et projecteurs scellés, de lampes à rayons ultraviolets et infrarouges et de lampes à arc, n.d.a.</v>
      </c>
      <c r="C2733">
        <v>263643</v>
      </c>
      <c r="D2733">
        <v>1000</v>
      </c>
    </row>
    <row r="2734" spans="1:4" x14ac:dyDescent="0.25">
      <c r="A2734" t="str">
        <f>T("   854089")</f>
        <v xml:space="preserve">   854089</v>
      </c>
      <c r="B2734" t="s">
        <v>476</v>
      </c>
      <c r="C2734">
        <v>800000</v>
      </c>
      <c r="D2734">
        <v>595</v>
      </c>
    </row>
    <row r="2735" spans="1:4" x14ac:dyDescent="0.25">
      <c r="A2735" t="str">
        <f>T("   854140")</f>
        <v xml:space="preserve">   854140</v>
      </c>
      <c r="B2735" t="str">
        <f>T("   Dispositifs photosensibles à semi-conducteur, y.c. les cellules photovoltaïques même assemblées en modules ou constituées en panneaux; diodes émettrices de lumière (sauf génératrices photovoltaïques)")</f>
        <v xml:space="preserve">   Dispositifs photosensibles à semi-conducteur, y.c. les cellules photovoltaïques même assemblées en modules ou constituées en panneaux; diodes émettrices de lumière (sauf génératrices photovoltaïques)</v>
      </c>
      <c r="C2735">
        <v>115674940</v>
      </c>
      <c r="D2735">
        <v>20929</v>
      </c>
    </row>
    <row r="2736" spans="1:4" x14ac:dyDescent="0.25">
      <c r="A2736" t="str">
        <f>T("   854389")</f>
        <v xml:space="preserve">   854389</v>
      </c>
      <c r="B2736" t="str">
        <f>T("   MACHINES ET APPAREILS ÉLECTRIQUES AYANT UNE FONCTION PROPRE, N.D.A. DANS LE CHAPITRE 85")</f>
        <v xml:space="preserve">   MACHINES ET APPAREILS ÉLECTRIQUES AYANT UNE FONCTION PROPRE, N.D.A. DANS LE CHAPITRE 85</v>
      </c>
      <c r="C2736">
        <v>5699332</v>
      </c>
      <c r="D2736">
        <v>2228</v>
      </c>
    </row>
    <row r="2737" spans="1:4" x14ac:dyDescent="0.25">
      <c r="A2737" t="str">
        <f>T("   854411")</f>
        <v xml:space="preserve">   854411</v>
      </c>
      <c r="B2737" t="str">
        <f>T("   Fils pour bobinages pour l'électricité, en cuivre, isolés")</f>
        <v xml:space="preserve">   Fils pour bobinages pour l'électricité, en cuivre, isolés</v>
      </c>
      <c r="C2737">
        <v>9659717</v>
      </c>
      <c r="D2737">
        <v>5220</v>
      </c>
    </row>
    <row r="2738" spans="1:4" x14ac:dyDescent="0.25">
      <c r="A2738" t="str">
        <f>T("   854419")</f>
        <v xml:space="preserve">   854419</v>
      </c>
      <c r="B2738" t="str">
        <f>T("   Fils pour bobinages pour l'électricité, autres qu'en cuivre, isolés")</f>
        <v xml:space="preserve">   Fils pour bobinages pour l'électricité, autres qu'en cuivre, isolés</v>
      </c>
      <c r="C2738">
        <v>6264137</v>
      </c>
      <c r="D2738">
        <v>29233</v>
      </c>
    </row>
    <row r="2739" spans="1:4" x14ac:dyDescent="0.25">
      <c r="A2739" t="str">
        <f>T("   854420")</f>
        <v xml:space="preserve">   854420</v>
      </c>
      <c r="B2739" t="str">
        <f>T("   Câbles coaxiaux et autres conducteurs électriques coaxiaux, isolés")</f>
        <v xml:space="preserve">   Câbles coaxiaux et autres conducteurs électriques coaxiaux, isolés</v>
      </c>
      <c r="C2739">
        <v>33164167</v>
      </c>
      <c r="D2739">
        <v>100443</v>
      </c>
    </row>
    <row r="2740" spans="1:4" x14ac:dyDescent="0.25">
      <c r="A2740" t="str">
        <f>T("   854441")</f>
        <v xml:space="preserve">   854441</v>
      </c>
      <c r="B2740" t="str">
        <f>T("   Conducteurs électriques, pour tension &lt;= 80 V, isolés, avec pièces de connexion, n.d.a.")</f>
        <v xml:space="preserve">   Conducteurs électriques, pour tension &lt;= 80 V, isolés, avec pièces de connexion, n.d.a.</v>
      </c>
      <c r="C2740">
        <v>5397480</v>
      </c>
      <c r="D2740">
        <v>179</v>
      </c>
    </row>
    <row r="2741" spans="1:4" x14ac:dyDescent="0.25">
      <c r="A2741" t="str">
        <f>T("   854449")</f>
        <v xml:space="preserve">   854449</v>
      </c>
      <c r="B2741" t="str">
        <f>T("   CONDUCTEURS ÉLECTRIQUES, POUR TENSION &lt;= 1.000 V, ISOLÉS, SANS PIÈCES DE CONNEXION, N.D.A.")</f>
        <v xml:space="preserve">   CONDUCTEURS ÉLECTRIQUES, POUR TENSION &lt;= 1.000 V, ISOLÉS, SANS PIÈCES DE CONNEXION, N.D.A.</v>
      </c>
      <c r="C2741">
        <v>23548756</v>
      </c>
      <c r="D2741">
        <v>91044</v>
      </c>
    </row>
    <row r="2742" spans="1:4" x14ac:dyDescent="0.25">
      <c r="A2742" t="str">
        <f>T("   854451")</f>
        <v xml:space="preserve">   854451</v>
      </c>
      <c r="B2742" t="str">
        <f>T("   Conducteurs électriques, pour tension &gt; 80 V mais &lt;= 1.000 V, avec pièces de connexion, n.d.a.")</f>
        <v xml:space="preserve">   Conducteurs électriques, pour tension &gt; 80 V mais &lt;= 1.000 V, avec pièces de connexion, n.d.a.</v>
      </c>
      <c r="C2742">
        <v>38224228</v>
      </c>
      <c r="D2742">
        <v>98142</v>
      </c>
    </row>
    <row r="2743" spans="1:4" x14ac:dyDescent="0.25">
      <c r="A2743" t="str">
        <f>T("   854459")</f>
        <v xml:space="preserve">   854459</v>
      </c>
      <c r="B2743" t="str">
        <f>T("   Conducteurs électriques, pour tension &gt; 80 V mais &lt;= 1.000 V, sans pièces de connexion, n.d.a.")</f>
        <v xml:space="preserve">   Conducteurs électriques, pour tension &gt; 80 V mais &lt;= 1.000 V, sans pièces de connexion, n.d.a.</v>
      </c>
      <c r="C2743">
        <v>21793048</v>
      </c>
      <c r="D2743">
        <v>6574</v>
      </c>
    </row>
    <row r="2744" spans="1:4" x14ac:dyDescent="0.25">
      <c r="A2744" t="str">
        <f>T("   854519")</f>
        <v xml:space="preserve">   854519</v>
      </c>
      <c r="B2744" t="str">
        <f>T("   ÉLECTRODES EN GRAPHITE OU EN AUTRE CARBONE, POUR USAGES ÉLECTRIQUES (AUTRES QUE POUR FOURS)")</f>
        <v xml:space="preserve">   ÉLECTRODES EN GRAPHITE OU EN AUTRE CARBONE, POUR USAGES ÉLECTRIQUES (AUTRES QUE POUR FOURS)</v>
      </c>
      <c r="C2744">
        <v>3300000</v>
      </c>
      <c r="D2744">
        <v>15340</v>
      </c>
    </row>
    <row r="2745" spans="1:4" x14ac:dyDescent="0.25">
      <c r="A2745" t="str">
        <f>T("   854720")</f>
        <v xml:space="preserve">   854720</v>
      </c>
      <c r="B2745" t="str">
        <f>T("   Pièces isolantes en matières plastiques, pour usages électriques")</f>
        <v xml:space="preserve">   Pièces isolantes en matières plastiques, pour usages électriques</v>
      </c>
      <c r="C2745">
        <v>594869</v>
      </c>
      <c r="D2745">
        <v>6155</v>
      </c>
    </row>
    <row r="2746" spans="1:4" x14ac:dyDescent="0.25">
      <c r="A2746" t="str">
        <f>T("   854790")</f>
        <v xml:space="preserve">   854790</v>
      </c>
      <c r="B2746" t="str">
        <f>T("   Pièces isolantes, pour usages électriques (autres qu'en céramique ou en matières plastiques, et que tubes isolateurs et leurs pièces de raccordement, en métaux communs, isolés intérieurement)")</f>
        <v xml:space="preserve">   Pièces isolantes, pour usages électriques (autres qu'en céramique ou en matières plastiques, et que tubes isolateurs et leurs pièces de raccordement, en métaux communs, isolés intérieurement)</v>
      </c>
      <c r="C2746">
        <v>43368263</v>
      </c>
      <c r="D2746">
        <v>117809</v>
      </c>
    </row>
    <row r="2747" spans="1:4" x14ac:dyDescent="0.25">
      <c r="A2747" t="str">
        <f>T("   860900")</f>
        <v xml:space="preserve">   860900</v>
      </c>
      <c r="B2747" t="str">
        <f>T("   CADRES ET CONTENEURS -Y.C. LES CONTENEURS-CITERNES ET LES CONTENEURS-RÉSERVOIRS- SPÉCIALEMENT CONÇUS ET ÉQUIPÉS POUR UN OU PLUSIEURS MODES DE TRANSPORT")</f>
        <v xml:space="preserve">   CADRES ET CONTENEURS -Y.C. LES CONTENEURS-CITERNES ET LES CONTENEURS-RÉSERVOIRS- SPÉCIALEMENT CONÇUS ET ÉQUIPÉS POUR UN OU PLUSIEURS MODES DE TRANSPORT</v>
      </c>
      <c r="C2747">
        <v>406238546</v>
      </c>
      <c r="D2747">
        <v>6</v>
      </c>
    </row>
    <row r="2748" spans="1:4" x14ac:dyDescent="0.25">
      <c r="A2748" t="str">
        <f>T("   870110")</f>
        <v xml:space="preserve">   870110</v>
      </c>
      <c r="B2748" t="str">
        <f>T("   Motoculteurs et tracteurs de construction similaire pour l'industrie (sauf tracteurs pour véhicules automobiles articulés)")</f>
        <v xml:space="preserve">   Motoculteurs et tracteurs de construction similaire pour l'industrie (sauf tracteurs pour véhicules automobiles articulés)</v>
      </c>
      <c r="C2748">
        <v>114277521</v>
      </c>
      <c r="D2748">
        <v>99120</v>
      </c>
    </row>
    <row r="2749" spans="1:4" x14ac:dyDescent="0.25">
      <c r="A2749" t="str">
        <f>T("   870120")</f>
        <v xml:space="preserve">   870120</v>
      </c>
      <c r="B2749" t="str">
        <f>T("   Tracteurs routiers pour semi-remorques")</f>
        <v xml:space="preserve">   Tracteurs routiers pour semi-remorques</v>
      </c>
      <c r="C2749">
        <v>297026608</v>
      </c>
      <c r="D2749">
        <v>189781</v>
      </c>
    </row>
    <row r="2750" spans="1:4" x14ac:dyDescent="0.25">
      <c r="A2750" t="str">
        <f>T("   870190")</f>
        <v xml:space="preserve">   870190</v>
      </c>
      <c r="B2750" t="str">
        <f>T("   Tracteurs (à l'excl. des chariots-tracteurs du n° 8709, ainsi que des motoculteurs, tracteurs routiers pour semi-remorques et tracteurs à chenilles)")</f>
        <v xml:space="preserve">   Tracteurs (à l'excl. des chariots-tracteurs du n° 8709, ainsi que des motoculteurs, tracteurs routiers pour semi-remorques et tracteurs à chenilles)</v>
      </c>
      <c r="C2750">
        <v>6884471</v>
      </c>
      <c r="D2750">
        <v>39495</v>
      </c>
    </row>
    <row r="2751" spans="1:4" x14ac:dyDescent="0.25">
      <c r="A2751" t="str">
        <f>T("   870210")</f>
        <v xml:space="preserve">   870210</v>
      </c>
      <c r="B2751" t="s">
        <v>477</v>
      </c>
      <c r="C2751">
        <v>220256038</v>
      </c>
      <c r="D2751">
        <v>70750</v>
      </c>
    </row>
    <row r="2752" spans="1:4" x14ac:dyDescent="0.25">
      <c r="A2752" t="str">
        <f>T("   870290")</f>
        <v xml:space="preserve">   870290</v>
      </c>
      <c r="B2752" t="s">
        <v>478</v>
      </c>
      <c r="C2752">
        <v>143078740</v>
      </c>
      <c r="D2752">
        <v>42928</v>
      </c>
    </row>
    <row r="2753" spans="1:4" x14ac:dyDescent="0.25">
      <c r="A2753" t="str">
        <f>T("   870322")</f>
        <v xml:space="preserve">   870322</v>
      </c>
      <c r="B2753" t="s">
        <v>480</v>
      </c>
      <c r="C2753">
        <v>102740297</v>
      </c>
      <c r="D2753">
        <v>66274</v>
      </c>
    </row>
    <row r="2754" spans="1:4" x14ac:dyDescent="0.25">
      <c r="A2754" t="str">
        <f>T("   870323")</f>
        <v xml:space="preserve">   870323</v>
      </c>
      <c r="B2754" t="s">
        <v>481</v>
      </c>
      <c r="C2754">
        <v>146053521</v>
      </c>
      <c r="D2754">
        <v>43630</v>
      </c>
    </row>
    <row r="2755" spans="1:4" x14ac:dyDescent="0.25">
      <c r="A2755" t="str">
        <f>T("   870332")</f>
        <v xml:space="preserve">   870332</v>
      </c>
      <c r="B2755" t="s">
        <v>484</v>
      </c>
      <c r="C2755">
        <v>47422985</v>
      </c>
      <c r="D2755">
        <v>11700</v>
      </c>
    </row>
    <row r="2756" spans="1:4" x14ac:dyDescent="0.25">
      <c r="A2756" t="str">
        <f>T("   870333")</f>
        <v xml:space="preserve">   870333</v>
      </c>
      <c r="B2756" t="s">
        <v>485</v>
      </c>
      <c r="C2756">
        <v>2266138</v>
      </c>
      <c r="D2756">
        <v>1550</v>
      </c>
    </row>
    <row r="2757" spans="1:4" x14ac:dyDescent="0.25">
      <c r="A2757" t="str">
        <f>T("   870410")</f>
        <v xml:space="preserve">   870410</v>
      </c>
      <c r="B2757" t="str">
        <f>T("   Tombereaux automoteurs utilisés en dehors du réseau routier")</f>
        <v xml:space="preserve">   Tombereaux automoteurs utilisés en dehors du réseau routier</v>
      </c>
      <c r="C2757">
        <v>329198991</v>
      </c>
      <c r="D2757">
        <v>148000</v>
      </c>
    </row>
    <row r="2758" spans="1:4" x14ac:dyDescent="0.25">
      <c r="A2758" t="str">
        <f>T("   870421")</f>
        <v xml:space="preserve">   870421</v>
      </c>
      <c r="B2758" t="s">
        <v>486</v>
      </c>
      <c r="C2758">
        <v>91283059</v>
      </c>
      <c r="D2758">
        <v>278130</v>
      </c>
    </row>
    <row r="2759" spans="1:4" x14ac:dyDescent="0.25">
      <c r="A2759" t="str">
        <f>T("   870422")</f>
        <v xml:space="preserve">   870422</v>
      </c>
      <c r="B2759" t="s">
        <v>487</v>
      </c>
      <c r="C2759">
        <v>174955545</v>
      </c>
      <c r="D2759">
        <v>116075</v>
      </c>
    </row>
    <row r="2760" spans="1:4" x14ac:dyDescent="0.25">
      <c r="A2760" t="str">
        <f>T("   870423")</f>
        <v xml:space="preserve">   870423</v>
      </c>
      <c r="B2760" t="s">
        <v>488</v>
      </c>
      <c r="C2760">
        <v>36111052</v>
      </c>
      <c r="D2760">
        <v>70061</v>
      </c>
    </row>
    <row r="2761" spans="1:4" x14ac:dyDescent="0.25">
      <c r="A2761" t="str">
        <f>T("   870431")</f>
        <v xml:space="preserve">   870431</v>
      </c>
      <c r="B2761" t="s">
        <v>489</v>
      </c>
      <c r="C2761">
        <v>6412744</v>
      </c>
      <c r="D2761">
        <v>1780</v>
      </c>
    </row>
    <row r="2762" spans="1:4" x14ac:dyDescent="0.25">
      <c r="A2762" t="str">
        <f>T("   870432")</f>
        <v xml:space="preserve">   870432</v>
      </c>
      <c r="B2762" t="s">
        <v>490</v>
      </c>
      <c r="C2762">
        <v>16204426</v>
      </c>
      <c r="D2762">
        <v>6960</v>
      </c>
    </row>
    <row r="2763" spans="1:4" x14ac:dyDescent="0.25">
      <c r="A2763" t="str">
        <f>T("   870490")</f>
        <v xml:space="preserve">   870490</v>
      </c>
      <c r="B2763" t="str">
        <f>T("   Véhicules automobiles pour le transport de marchandises à moteur autre qu'à piston à allumage par étincelles ou moteur diesel ou semi-diesel (sauf tombereaux automoteurs du n° 8704.10, véhicules automobiles à usages spéciaux du n° 8705)")</f>
        <v xml:space="preserve">   Véhicules automobiles pour le transport de marchandises à moteur autre qu'à piston à allumage par étincelles ou moteur diesel ou semi-diesel (sauf tombereaux automoteurs du n° 8704.10, véhicules automobiles à usages spéciaux du n° 8705)</v>
      </c>
      <c r="C2763">
        <v>7870448</v>
      </c>
      <c r="D2763">
        <v>1527</v>
      </c>
    </row>
    <row r="2764" spans="1:4" x14ac:dyDescent="0.25">
      <c r="A2764" t="str">
        <f>T("   870510")</f>
        <v xml:space="preserve">   870510</v>
      </c>
      <c r="B2764" t="str">
        <f>T("   Camions-grues (sauf dépanneuses)")</f>
        <v xml:space="preserve">   Camions-grues (sauf dépanneuses)</v>
      </c>
      <c r="C2764">
        <v>55345751</v>
      </c>
      <c r="D2764">
        <v>51800</v>
      </c>
    </row>
    <row r="2765" spans="1:4" x14ac:dyDescent="0.25">
      <c r="A2765" t="str">
        <f>T("   870590")</f>
        <v xml:space="preserve">   870590</v>
      </c>
      <c r="B2765" t="s">
        <v>491</v>
      </c>
      <c r="C2765">
        <v>37225842</v>
      </c>
      <c r="D2765">
        <v>8870</v>
      </c>
    </row>
    <row r="2766" spans="1:4" x14ac:dyDescent="0.25">
      <c r="A2766" t="str">
        <f>T("   870790")</f>
        <v xml:space="preserve">   870790</v>
      </c>
      <c r="B2766" t="str">
        <f>T("   CARROSSERIES DE TRACTEURS, VÉHICULES POUR LE TRANSPORT DE &gt;= 10 PERSONNES, CHAUFFEUR INCLUS, VÉHICULES POUR LE TRANSPORT DE MARCHANDISES ET VÉHICULES À USAGES SPÉCIAUX")</f>
        <v xml:space="preserve">   CARROSSERIES DE TRACTEURS, VÉHICULES POUR LE TRANSPORT DE &gt;= 10 PERSONNES, CHAUFFEUR INCLUS, VÉHICULES POUR LE TRANSPORT DE MARCHANDISES ET VÉHICULES À USAGES SPÉCIAUX</v>
      </c>
      <c r="C2766">
        <v>2250000</v>
      </c>
      <c r="D2766">
        <v>3000</v>
      </c>
    </row>
    <row r="2767" spans="1:4" x14ac:dyDescent="0.25">
      <c r="A2767" t="str">
        <f>T("   870810")</f>
        <v xml:space="preserve">   870810</v>
      </c>
      <c r="B2767" t="str">
        <f>T("   PARE-CHOCS ET LEURS PARTIES DE TRACTEURS, VÉHICULES POUR LE TRANSPORT DE &gt;= 10 PERSONNES, CHAUFFEUR INCLUS, VOITURES DE TOURISME, VÉHICULES POUR LE TRANSPORT DE MARCHANDISES ET VÉHICULES À USAGES SPÉCIAUX DU N° 8701 À 8705, N.D.A")</f>
        <v xml:space="preserve">   PARE-CHOCS ET LEURS PARTIES DE TRACTEURS, VÉHICULES POUR LE TRANSPORT DE &gt;= 10 PERSONNES, CHAUFFEUR INCLUS, VOITURES DE TOURISME, VÉHICULES POUR LE TRANSPORT DE MARCHANDISES ET VÉHICULES À USAGES SPÉCIAUX DU N° 8701 À 8705, N.D.A</v>
      </c>
      <c r="C2767">
        <v>7300000</v>
      </c>
      <c r="D2767">
        <v>30870</v>
      </c>
    </row>
    <row r="2768" spans="1:4" x14ac:dyDescent="0.25">
      <c r="A2768" t="str">
        <f>T("   870829")</f>
        <v xml:space="preserve">   870829</v>
      </c>
      <c r="B2768" t="s">
        <v>493</v>
      </c>
      <c r="C2768">
        <v>117843</v>
      </c>
      <c r="D2768">
        <v>2189</v>
      </c>
    </row>
    <row r="2769" spans="1:4" x14ac:dyDescent="0.25">
      <c r="A2769" t="str">
        <f>T("   870839")</f>
        <v xml:space="preserve">   870839</v>
      </c>
      <c r="B2769" t="str">
        <f>T("   FREINS ET SERVO-FREINS, ET LEURS PARTIES, POUR DE TRACTEURS, VÉHICULES POUR LE TRANSPORT DE &gt;= 10 PERSONNES, CHAUFFEUR INCLUS, VOITURES DE TOURISME, VÉHICULES POUR LE TRANSPORT DE MARCHANDISES ET VÉHICULES À USAGES SPÉCIAUX, N.D.A.")</f>
        <v xml:space="preserve">   FREINS ET SERVO-FREINS, ET LEURS PARTIES, POUR DE TRACTEURS, VÉHICULES POUR LE TRANSPORT DE &gt;= 10 PERSONNES, CHAUFFEUR INCLUS, VOITURES DE TOURISME, VÉHICULES POUR LE TRANSPORT DE MARCHANDISES ET VÉHICULES À USAGES SPÉCIAUX, N.D.A.</v>
      </c>
      <c r="C2769">
        <v>275912302</v>
      </c>
      <c r="D2769">
        <v>27114</v>
      </c>
    </row>
    <row r="2770" spans="1:4" x14ac:dyDescent="0.25">
      <c r="A2770" t="str">
        <f>T("   870850")</f>
        <v xml:space="preserve">   870850</v>
      </c>
      <c r="B2770" t="s">
        <v>494</v>
      </c>
      <c r="C2770">
        <v>700000</v>
      </c>
      <c r="D2770">
        <v>3490</v>
      </c>
    </row>
    <row r="2771" spans="1:4" x14ac:dyDescent="0.25">
      <c r="A2771" t="str">
        <f>T("   870860")</f>
        <v xml:space="preserve">   870860</v>
      </c>
      <c r="B2771" t="str">
        <f>T("   ESSIEUX PORTEURS ET LEURS PARTIES, POUR TRACTEURS, VÉHICULES POUR LE TRANSPORT DE &gt;= 10 PERSONNES, CHAUFFEUR INCLUS, VOITURES DE TOURISME, VÉHICULES POUR LE TRANSPORT DE MARCHANDISES ET VÉHICULES À USAGES SPÉCIAUX N.D.A.")</f>
        <v xml:space="preserve">   ESSIEUX PORTEURS ET LEURS PARTIES, POUR TRACTEURS, VÉHICULES POUR LE TRANSPORT DE &gt;= 10 PERSONNES, CHAUFFEUR INCLUS, VOITURES DE TOURISME, VÉHICULES POUR LE TRANSPORT DE MARCHANDISES ET VÉHICULES À USAGES SPÉCIAUX N.D.A.</v>
      </c>
      <c r="C2771">
        <v>650000</v>
      </c>
      <c r="D2771">
        <v>1300</v>
      </c>
    </row>
    <row r="2772" spans="1:4" x14ac:dyDescent="0.25">
      <c r="A2772" t="str">
        <f>T("   870870")</f>
        <v xml:space="preserve">   870870</v>
      </c>
      <c r="B2772" t="str">
        <f>T("   ROUES, LEURS PARTIES ET ACCESSOIRES POUR TRACTEURS, VÉHICULES POUR LE TRANSPORT DE &gt;= 10 PERSONNES, CHAUFFEUR INCLUS, VOITURES DE TOURISME, VÉHICULES POUR LE TRANSPORT DE MARCHANDISES ET VÉHICULES À USAGES SPÉCIAUX, N.D.A.")</f>
        <v xml:space="preserve">   ROUES, LEURS PARTIES ET ACCESSOIRES POUR TRACTEURS, VÉHICULES POUR LE TRANSPORT DE &gt;= 10 PERSONNES, CHAUFFEUR INCLUS, VOITURES DE TOURISME, VÉHICULES POUR LE TRANSPORT DE MARCHANDISES ET VÉHICULES À USAGES SPÉCIAUX, N.D.A.</v>
      </c>
      <c r="C2772">
        <v>223820</v>
      </c>
      <c r="D2772">
        <v>1190</v>
      </c>
    </row>
    <row r="2773" spans="1:4" x14ac:dyDescent="0.25">
      <c r="A2773" t="str">
        <f>T("   870880")</f>
        <v xml:space="preserve">   870880</v>
      </c>
      <c r="B2773" t="s">
        <v>495</v>
      </c>
      <c r="C2773">
        <v>174584</v>
      </c>
      <c r="D2773">
        <v>3796</v>
      </c>
    </row>
    <row r="2774" spans="1:4" x14ac:dyDescent="0.25">
      <c r="A2774" t="str">
        <f>T("   870891")</f>
        <v xml:space="preserve">   870891</v>
      </c>
      <c r="B2774" t="str">
        <f>T("   RADIATEURS ET LEURS PARTIES, POUR TRACTEURS, VÉHICULES POUR LE TRANSPORT DE &gt;= 10 PERSONNES, CHAUFFEUR INCLUS, VOITURES DE TOURISME, VÉHICULES POUR LE TRANSPORT DE MARCHANDISES ET VÉHICULES À USAGES SPÉCIAUX, N.D.A.")</f>
        <v xml:space="preserve">   RADIATEURS ET LEURS PARTIES, POUR TRACTEURS, VÉHICULES POUR LE TRANSPORT DE &gt;= 10 PERSONNES, CHAUFFEUR INCLUS, VOITURES DE TOURISME, VÉHICULES POUR LE TRANSPORT DE MARCHANDISES ET VÉHICULES À USAGES SPÉCIAUX, N.D.A.</v>
      </c>
      <c r="C2774">
        <v>156609</v>
      </c>
      <c r="D2774">
        <v>1044</v>
      </c>
    </row>
    <row r="2775" spans="1:4" x14ac:dyDescent="0.25">
      <c r="A2775" t="str">
        <f>T("   870892")</f>
        <v xml:space="preserve">   870892</v>
      </c>
      <c r="B2775" t="str">
        <f>T("   SILENCIEUX ET TUYAUX D'ÉCHAPPEMENT AINSI QUE LEURS PARTIES, POUR TRACTEURS, VÉHICULES POUR LE TRANSPORT DE &gt;= 10 PERSONNES, CHAUFFEUR INCLUS, VOITURES DE TOURISME, VÉHICULES POUR LE TRANSPORT DE MARCHANDISES ET VÉHICULES À USAGES SPÉCIAUX, N.D.A.")</f>
        <v xml:space="preserve">   SILENCIEUX ET TUYAUX D'ÉCHAPPEMENT AINSI QUE LEURS PARTIES, POUR TRACTEURS, VÉHICULES POUR LE TRANSPORT DE &gt;= 10 PERSONNES, CHAUFFEUR INCLUS, VOITURES DE TOURISME, VÉHICULES POUR LE TRANSPORT DE MARCHANDISES ET VÉHICULES À USAGES SPÉCIAUX, N.D.A.</v>
      </c>
      <c r="C2775">
        <v>17458</v>
      </c>
      <c r="D2775">
        <v>1787</v>
      </c>
    </row>
    <row r="2776" spans="1:4" x14ac:dyDescent="0.25">
      <c r="A2776" t="str">
        <f>T("   870893")</f>
        <v xml:space="preserve">   870893</v>
      </c>
      <c r="B2776" t="str">
        <f>T("   EMBRAYAGES ET LEURS PARTIES, POUR TRACTEURS, VÉHICULES POUR LE TRANSPORT DE &gt;= 10 PERSONNES, CHAUFFEUR INCLUS, VOITURES DE TOURISME, VÉHICULES POUR LE TRANSPORT DE MARCHANDISES ET VÉHICULES À USAGES SPÉCIAUX, N.D.A.")</f>
        <v xml:space="preserve">   EMBRAYAGES ET LEURS PARTIES, POUR TRACTEURS, VÉHICULES POUR LE TRANSPORT DE &gt;= 10 PERSONNES, CHAUFFEUR INCLUS, VOITURES DE TOURISME, VÉHICULES POUR LE TRANSPORT DE MARCHANDISES ET VÉHICULES À USAGES SPÉCIAUX, N.D.A.</v>
      </c>
      <c r="C2776">
        <v>1633625</v>
      </c>
      <c r="D2776">
        <v>583</v>
      </c>
    </row>
    <row r="2777" spans="1:4" x14ac:dyDescent="0.25">
      <c r="A2777" t="str">
        <f>T("   870894")</f>
        <v xml:space="preserve">   870894</v>
      </c>
      <c r="B2777" t="s">
        <v>496</v>
      </c>
      <c r="C2777">
        <v>500000</v>
      </c>
      <c r="D2777">
        <v>5000</v>
      </c>
    </row>
    <row r="2778" spans="1:4" x14ac:dyDescent="0.25">
      <c r="A2778" t="str">
        <f>T("   870899")</f>
        <v xml:space="preserve">   870899</v>
      </c>
      <c r="B2778"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2778">
        <v>193407262</v>
      </c>
      <c r="D2778">
        <v>123680</v>
      </c>
    </row>
    <row r="2779" spans="1:4" x14ac:dyDescent="0.25">
      <c r="A2779" t="str">
        <f>T("   870919")</f>
        <v xml:space="preserve">   870919</v>
      </c>
      <c r="B2779" t="str">
        <f>T("   CHARIOTS AUTOMOBILES NON-ÉLECTRIQUES, NON-MUNIS D'UN DISPOSITIF DE LEVAGE, DES TYPES UTILISÉS POUR LE TRANSPORT DES MARCHANDISES SUR DE COURTES DISTANCES, Y.C. LES CHARIOTS-TRACTEURS DES TYPES UTILISÉS DANS LES GARES")</f>
        <v xml:space="preserve">   CHARIOTS AUTOMOBILES NON-ÉLECTRIQUES, NON-MUNIS D'UN DISPOSITIF DE LEVAGE, DES TYPES UTILISÉS POUR LE TRANSPORT DES MARCHANDISES SUR DE COURTES DISTANCES, Y.C. LES CHARIOTS-TRACTEURS DES TYPES UTILISÉS DANS LES GARES</v>
      </c>
      <c r="C2779">
        <v>3148234</v>
      </c>
      <c r="D2779">
        <v>9078</v>
      </c>
    </row>
    <row r="2780" spans="1:4" x14ac:dyDescent="0.25">
      <c r="A2780" t="str">
        <f>T("   870990")</f>
        <v xml:space="preserve">   870990</v>
      </c>
      <c r="B2780" t="str">
        <f>T("   Parties de chariots automobiles non munis d'un dispositif de levage, des types utilisés pour le transport des marchandises sur de courtes distances, y.c. les chariots-tracteurs des types utilisés dans les gares, n.d.a.")</f>
        <v xml:space="preserve">   Parties de chariots automobiles non munis d'un dispositif de levage, des types utilisés pour le transport des marchandises sur de courtes distances, y.c. les chariots-tracteurs des types utilisés dans les gares, n.d.a.</v>
      </c>
      <c r="C2780">
        <v>375000</v>
      </c>
      <c r="D2780">
        <v>2413</v>
      </c>
    </row>
    <row r="2781" spans="1:4" x14ac:dyDescent="0.25">
      <c r="A2781" t="str">
        <f>T("   871110")</f>
        <v xml:space="preserve">   871110</v>
      </c>
      <c r="B2781" t="str">
        <f>T("   Cyclomoteurs, à moteur à piston alternatif, cylindrée &lt;= 50 cm³, y.c. cycles à moteur auxiliaire")</f>
        <v xml:space="preserve">   Cyclomoteurs, à moteur à piston alternatif, cylindrée &lt;= 50 cm³, y.c. cycles à moteur auxiliaire</v>
      </c>
      <c r="C2781">
        <v>255481356</v>
      </c>
      <c r="D2781">
        <v>183668</v>
      </c>
    </row>
    <row r="2782" spans="1:4" x14ac:dyDescent="0.25">
      <c r="A2782" t="str">
        <f>T("   871120")</f>
        <v xml:space="preserve">   871120</v>
      </c>
      <c r="B2782" t="str">
        <f>T("   Motocycles à moteur à piston alternatif, cylindrée &gt; 50 cm³ mais &lt;= 250 cm³")</f>
        <v xml:space="preserve">   Motocycles à moteur à piston alternatif, cylindrée &gt; 50 cm³ mais &lt;= 250 cm³</v>
      </c>
      <c r="C2782">
        <v>14346200998</v>
      </c>
      <c r="D2782">
        <v>7974112.6399999997</v>
      </c>
    </row>
    <row r="2783" spans="1:4" x14ac:dyDescent="0.25">
      <c r="A2783" t="str">
        <f>T("   871130")</f>
        <v xml:space="preserve">   871130</v>
      </c>
      <c r="B2783" t="str">
        <f>T("   Motocycles à moteur à piston alternatif, cylindrée &gt; 250 cm³ mais &lt;= 500 cm³")</f>
        <v xml:space="preserve">   Motocycles à moteur à piston alternatif, cylindrée &gt; 250 cm³ mais &lt;= 500 cm³</v>
      </c>
      <c r="C2783">
        <v>40050173</v>
      </c>
      <c r="D2783">
        <v>28208</v>
      </c>
    </row>
    <row r="2784" spans="1:4" x14ac:dyDescent="0.25">
      <c r="A2784" t="str">
        <f>T("   871140")</f>
        <v xml:space="preserve">   871140</v>
      </c>
      <c r="B2784" t="str">
        <f>T("   Motocycles à moteur à piston alternatif, cylindrée &gt; 500 cm³ mais &lt;= 800 cm³")</f>
        <v xml:space="preserve">   Motocycles à moteur à piston alternatif, cylindrée &gt; 500 cm³ mais &lt;= 800 cm³</v>
      </c>
      <c r="C2784">
        <v>13250000</v>
      </c>
      <c r="D2784">
        <v>9160</v>
      </c>
    </row>
    <row r="2785" spans="1:4" x14ac:dyDescent="0.25">
      <c r="A2785" t="str">
        <f>T("   871190")</f>
        <v xml:space="preserve">   871190</v>
      </c>
      <c r="B2785" t="str">
        <f>T("   Side-cars")</f>
        <v xml:space="preserve">   Side-cars</v>
      </c>
      <c r="C2785">
        <v>3636219</v>
      </c>
      <c r="D2785">
        <v>17713</v>
      </c>
    </row>
    <row r="2786" spans="1:4" x14ac:dyDescent="0.25">
      <c r="A2786" t="str">
        <f>T("   871200")</f>
        <v xml:space="preserve">   871200</v>
      </c>
      <c r="B2786" t="str">
        <f>T("   BICYCLETTES ET AUTRES CYCLES, -Y.C. LES TRIPORTEURS-, SANS MOTEUR")</f>
        <v xml:space="preserve">   BICYCLETTES ET AUTRES CYCLES, -Y.C. LES TRIPORTEURS-, SANS MOTEUR</v>
      </c>
      <c r="C2786">
        <v>51949708</v>
      </c>
      <c r="D2786">
        <v>69131</v>
      </c>
    </row>
    <row r="2787" spans="1:4" x14ac:dyDescent="0.25">
      <c r="A2787" t="str">
        <f>T("   871390")</f>
        <v xml:space="preserve">   871390</v>
      </c>
      <c r="B2787" t="str">
        <f>T("   Fauteuils roulants et autres véhicules pour invalides, avec mécanisme de propulsion (sauf automobiles et bicyclettes munies de dispositifs spéciaux)")</f>
        <v xml:space="preserve">   Fauteuils roulants et autres véhicules pour invalides, avec mécanisme de propulsion (sauf automobiles et bicyclettes munies de dispositifs spéciaux)</v>
      </c>
      <c r="C2787">
        <v>40265</v>
      </c>
      <c r="D2787">
        <v>15</v>
      </c>
    </row>
    <row r="2788" spans="1:4" x14ac:dyDescent="0.25">
      <c r="A2788" t="str">
        <f>T("   871411")</f>
        <v xml:space="preserve">   871411</v>
      </c>
      <c r="B2788" t="str">
        <f>T("   Selles de motocycles, y.c. de cyclomoteurs")</f>
        <v xml:space="preserve">   Selles de motocycles, y.c. de cyclomoteurs</v>
      </c>
      <c r="C2788">
        <v>109500406</v>
      </c>
      <c r="D2788">
        <v>527501</v>
      </c>
    </row>
    <row r="2789" spans="1:4" x14ac:dyDescent="0.25">
      <c r="A2789" t="str">
        <f>T("   871419")</f>
        <v xml:space="preserve">   871419</v>
      </c>
      <c r="B2789" t="str">
        <f>T("   Parties et accessoires de motocycles, y.c. de cyclomoteurs, n.d.a.")</f>
        <v xml:space="preserve">   Parties et accessoires de motocycles, y.c. de cyclomoteurs, n.d.a.</v>
      </c>
      <c r="C2789">
        <v>1224945313</v>
      </c>
      <c r="D2789">
        <v>2325184.5</v>
      </c>
    </row>
    <row r="2790" spans="1:4" x14ac:dyDescent="0.25">
      <c r="A2790" t="str">
        <f>T("   871492")</f>
        <v xml:space="preserve">   871492</v>
      </c>
      <c r="B2790" t="str">
        <f>T("   Jantes et rayons, de bicyclettes")</f>
        <v xml:space="preserve">   Jantes et rayons, de bicyclettes</v>
      </c>
      <c r="C2790">
        <v>477750</v>
      </c>
      <c r="D2790">
        <v>230</v>
      </c>
    </row>
    <row r="2791" spans="1:4" x14ac:dyDescent="0.25">
      <c r="A2791" t="str">
        <f>T("   871494")</f>
        <v xml:space="preserve">   871494</v>
      </c>
      <c r="B2791" t="str">
        <f>T("   Freins, y.c. les moyeux à frein, et leurs parties, de bicyclettes")</f>
        <v xml:space="preserve">   Freins, y.c. les moyeux à frein, et leurs parties, de bicyclettes</v>
      </c>
      <c r="C2791">
        <v>21471199</v>
      </c>
      <c r="D2791">
        <v>12228</v>
      </c>
    </row>
    <row r="2792" spans="1:4" x14ac:dyDescent="0.25">
      <c r="A2792" t="str">
        <f>T("   871496")</f>
        <v xml:space="preserve">   871496</v>
      </c>
      <c r="B2792" t="str">
        <f>T("   Pédales et pédaliers, et leurs parties, de bicyclettes, n.d.a.")</f>
        <v xml:space="preserve">   Pédales et pédaliers, et leurs parties, de bicyclettes, n.d.a.</v>
      </c>
      <c r="C2792">
        <v>3000000</v>
      </c>
      <c r="D2792">
        <v>25180</v>
      </c>
    </row>
    <row r="2793" spans="1:4" x14ac:dyDescent="0.25">
      <c r="A2793" t="str">
        <f>T("   871499")</f>
        <v xml:space="preserve">   871499</v>
      </c>
      <c r="B2793" t="str">
        <f>T("   Parties et accessoires, de bicyclettes, n.d.a.")</f>
        <v xml:space="preserve">   Parties et accessoires, de bicyclettes, n.d.a.</v>
      </c>
      <c r="C2793">
        <v>3792872</v>
      </c>
      <c r="D2793">
        <v>340</v>
      </c>
    </row>
    <row r="2794" spans="1:4" x14ac:dyDescent="0.25">
      <c r="A2794" t="str">
        <f>T("   871500")</f>
        <v xml:space="preserve">   871500</v>
      </c>
      <c r="B2794" t="str">
        <f>T("   Landaus, poussettes et voitures simil., pour le transport des enfants, et leurs parties, n.d.a.")</f>
        <v xml:space="preserve">   Landaus, poussettes et voitures simil., pour le transport des enfants, et leurs parties, n.d.a.</v>
      </c>
      <c r="C2794">
        <v>300000</v>
      </c>
      <c r="D2794">
        <v>720</v>
      </c>
    </row>
    <row r="2795" spans="1:4" x14ac:dyDescent="0.25">
      <c r="A2795" t="str">
        <f>T("   871620")</f>
        <v xml:space="preserve">   871620</v>
      </c>
      <c r="B2795" t="str">
        <f>T("   Remorques et semi-remorques autochargeuses ou autodéchargeuses, pour usages agricoles")</f>
        <v xml:space="preserve">   Remorques et semi-remorques autochargeuses ou autodéchargeuses, pour usages agricoles</v>
      </c>
      <c r="C2795">
        <v>21509622</v>
      </c>
      <c r="D2795">
        <v>84370</v>
      </c>
    </row>
    <row r="2796" spans="1:4" x14ac:dyDescent="0.25">
      <c r="A2796" t="str">
        <f>T("   871639")</f>
        <v xml:space="preserve">   871639</v>
      </c>
      <c r="B2796" t="str">
        <f>T("   Remorques ne circulant pas sur rails, pour le transport des marchandises (sauf remorques destinées à des usages agricoles, remorques autochargeuses ou autodéchargeuses et remorques-citernes)")</f>
        <v xml:space="preserve">   Remorques ne circulant pas sur rails, pour le transport des marchandises (sauf remorques destinées à des usages agricoles, remorques autochargeuses ou autodéchargeuses et remorques-citernes)</v>
      </c>
      <c r="C2796">
        <v>89684254</v>
      </c>
      <c r="D2796">
        <v>67520</v>
      </c>
    </row>
    <row r="2797" spans="1:4" x14ac:dyDescent="0.25">
      <c r="A2797" t="str">
        <f>T("   871640")</f>
        <v xml:space="preserve">   871640</v>
      </c>
      <c r="B2797"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2797">
        <v>167987086</v>
      </c>
      <c r="D2797">
        <v>142620</v>
      </c>
    </row>
    <row r="2798" spans="1:4" x14ac:dyDescent="0.25">
      <c r="A2798" t="str">
        <f>T("   871680")</f>
        <v xml:space="preserve">   871680</v>
      </c>
      <c r="B2798" t="str">
        <f>T("   Véhicules dirigés à la main et autres véhicules non automobiles, autres que remorques et semi-remorques")</f>
        <v xml:space="preserve">   Véhicules dirigés à la main et autres véhicules non automobiles, autres que remorques et semi-remorques</v>
      </c>
      <c r="C2798">
        <v>4241630</v>
      </c>
      <c r="D2798">
        <v>27771</v>
      </c>
    </row>
    <row r="2799" spans="1:4" x14ac:dyDescent="0.25">
      <c r="A2799" t="str">
        <f>T("   900410")</f>
        <v xml:space="preserve">   900410</v>
      </c>
      <c r="B2799" t="str">
        <f>T("   Lunettes solaires")</f>
        <v xml:space="preserve">   Lunettes solaires</v>
      </c>
      <c r="C2799">
        <v>1729918</v>
      </c>
      <c r="D2799">
        <v>2681</v>
      </c>
    </row>
    <row r="2800" spans="1:4" x14ac:dyDescent="0.25">
      <c r="A2800" t="str">
        <f>T("   900580")</f>
        <v xml:space="preserve">   900580</v>
      </c>
      <c r="B2800" t="str">
        <f>T("   Longues-vues, lunettes astronomiques, télescopes optiques et autres instruments d'astronomie (à l'excl. des jumelles, des appareils de radio-astronomie et des autres instruments ou appareils dénommés ou compris ailleurs)")</f>
        <v xml:space="preserve">   Longues-vues, lunettes astronomiques, télescopes optiques et autres instruments d'astronomie (à l'excl. des jumelles, des appareils de radio-astronomie et des autres instruments ou appareils dénommés ou compris ailleurs)</v>
      </c>
      <c r="C2800">
        <v>110930</v>
      </c>
      <c r="D2800">
        <v>14</v>
      </c>
    </row>
    <row r="2801" spans="1:4" x14ac:dyDescent="0.25">
      <c r="A2801" t="str">
        <f>T("   900699")</f>
        <v xml:space="preserve">   900699</v>
      </c>
      <c r="B2801" t="str">
        <f>T("   Parties et accessoires des appareils et dispositifs pour la production de la lumière-éclair en photographie, n.d.a.")</f>
        <v xml:space="preserve">   Parties et accessoires des appareils et dispositifs pour la production de la lumière-éclair en photographie, n.d.a.</v>
      </c>
      <c r="C2801">
        <v>1000000</v>
      </c>
      <c r="D2801">
        <v>1407</v>
      </c>
    </row>
    <row r="2802" spans="1:4" x14ac:dyDescent="0.25">
      <c r="A2802" t="str">
        <f>T("   900719")</f>
        <v xml:space="preserve">   900719</v>
      </c>
      <c r="B2802" t="str">
        <f>T("   Caméras cinématographiques, pour films d'une largeur &gt;= 16 mm (à l'excl. des films double-8 mm)")</f>
        <v xml:space="preserve">   Caméras cinématographiques, pour films d'une largeur &gt;= 16 mm (à l'excl. des films double-8 mm)</v>
      </c>
      <c r="C2802">
        <v>3328190</v>
      </c>
      <c r="D2802">
        <v>12</v>
      </c>
    </row>
    <row r="2803" spans="1:4" x14ac:dyDescent="0.25">
      <c r="A2803" t="str">
        <f>T("   900911")</f>
        <v xml:space="preserve">   900911</v>
      </c>
      <c r="B2803" t="str">
        <f>T("   Appareils de photocopie électrostatiques, fonctionnant par reproduction directe de l'image de l'original sur la copie [procédé direct]")</f>
        <v xml:space="preserve">   Appareils de photocopie électrostatiques, fonctionnant par reproduction directe de l'image de l'original sur la copie [procédé direct]</v>
      </c>
      <c r="C2803">
        <v>34516301</v>
      </c>
      <c r="D2803">
        <v>5563</v>
      </c>
    </row>
    <row r="2804" spans="1:4" x14ac:dyDescent="0.25">
      <c r="A2804" t="str">
        <f>T("   900912")</f>
        <v xml:space="preserve">   900912</v>
      </c>
      <c r="B2804" t="str">
        <f>T("   Appareils de photocopie électrostatiques, fonctionnant par reproduction de l'image de l'original sur la copie au moyen d'un support intermédiaire [procédé indirect]")</f>
        <v xml:space="preserve">   Appareils de photocopie électrostatiques, fonctionnant par reproduction de l'image de l'original sur la copie au moyen d'un support intermédiaire [procédé indirect]</v>
      </c>
      <c r="C2804">
        <v>1500000</v>
      </c>
      <c r="D2804">
        <v>667</v>
      </c>
    </row>
    <row r="2805" spans="1:4" x14ac:dyDescent="0.25">
      <c r="A2805" t="str">
        <f>T("   900922")</f>
        <v xml:space="preserve">   900922</v>
      </c>
      <c r="B2805" t="str">
        <f>T("   APPAREILS DE PHOTOCOPIE PAR CONTACT")</f>
        <v xml:space="preserve">   APPAREILS DE PHOTOCOPIE PAR CONTACT</v>
      </c>
      <c r="C2805">
        <v>6232</v>
      </c>
      <c r="D2805">
        <v>100</v>
      </c>
    </row>
    <row r="2806" spans="1:4" x14ac:dyDescent="0.25">
      <c r="A2806" t="str">
        <f>T("   901060")</f>
        <v xml:space="preserve">   901060</v>
      </c>
      <c r="B2806" t="str">
        <f>T("   ECRANS POUR PROJECTIONS")</f>
        <v xml:space="preserve">   ECRANS POUR PROJECTIONS</v>
      </c>
      <c r="C2806">
        <v>882699</v>
      </c>
      <c r="D2806">
        <v>1010</v>
      </c>
    </row>
    <row r="2807" spans="1:4" x14ac:dyDescent="0.25">
      <c r="A2807" t="str">
        <f>T("   901530")</f>
        <v xml:space="preserve">   901530</v>
      </c>
      <c r="B2807" t="str">
        <f>T("   Niveaux")</f>
        <v xml:space="preserve">   Niveaux</v>
      </c>
      <c r="C2807">
        <v>1755373</v>
      </c>
      <c r="D2807">
        <v>1319</v>
      </c>
    </row>
    <row r="2808" spans="1:4" x14ac:dyDescent="0.25">
      <c r="A2808" t="str">
        <f>T("   901710")</f>
        <v xml:space="preserve">   901710</v>
      </c>
      <c r="B2808" t="str">
        <f>T("   Tables et machines à dessiner, même automatiques (à l'excl. des unités de machines automatiques de traitement de l'information)")</f>
        <v xml:space="preserve">   Tables et machines à dessiner, même automatiques (à l'excl. des unités de machines automatiques de traitement de l'information)</v>
      </c>
      <c r="C2808">
        <v>1000000</v>
      </c>
      <c r="D2808">
        <v>2100</v>
      </c>
    </row>
    <row r="2809" spans="1:4" x14ac:dyDescent="0.25">
      <c r="A2809" t="str">
        <f>T("   901720")</f>
        <v xml:space="preserve">   901720</v>
      </c>
      <c r="B2809" t="str">
        <f>T("   Instruments de dessin, de traçage et de calcul (sauf tables et machines à dessiner ainsi que calculatrices)")</f>
        <v xml:space="preserve">   Instruments de dessin, de traçage et de calcul (sauf tables et machines à dessiner ainsi que calculatrices)</v>
      </c>
      <c r="C2809">
        <v>19771985</v>
      </c>
      <c r="D2809">
        <v>19307</v>
      </c>
    </row>
    <row r="2810" spans="1:4" x14ac:dyDescent="0.25">
      <c r="A2810" t="str">
        <f>T("   901730")</f>
        <v xml:space="preserve">   901730</v>
      </c>
      <c r="B2810" t="str">
        <f>T("   Micromètres, pieds à coulisses, calibres et jauges")</f>
        <v xml:space="preserve">   Micromètres, pieds à coulisses, calibres et jauges</v>
      </c>
      <c r="C2810">
        <v>15234</v>
      </c>
      <c r="D2810">
        <v>62</v>
      </c>
    </row>
    <row r="2811" spans="1:4" x14ac:dyDescent="0.25">
      <c r="A2811" t="str">
        <f>T("   901780")</f>
        <v xml:space="preserve">   901780</v>
      </c>
      <c r="B2811" t="str">
        <f>T("   Instruments de mesure de longueurs, pour emploi à la main, n.d.a.")</f>
        <v xml:space="preserve">   Instruments de mesure de longueurs, pour emploi à la main, n.d.a.</v>
      </c>
      <c r="C2811">
        <v>24988391</v>
      </c>
      <c r="D2811">
        <v>34450</v>
      </c>
    </row>
    <row r="2812" spans="1:4" x14ac:dyDescent="0.25">
      <c r="A2812" t="str">
        <f>T("   901812")</f>
        <v xml:space="preserve">   901812</v>
      </c>
      <c r="B2812" t="str">
        <f>T("   Appareils de diagnostic par balayage ultrasonique [scanners]")</f>
        <v xml:space="preserve">   Appareils de diagnostic par balayage ultrasonique [scanners]</v>
      </c>
      <c r="C2812">
        <v>1366148</v>
      </c>
      <c r="D2812">
        <v>274</v>
      </c>
    </row>
    <row r="2813" spans="1:4" x14ac:dyDescent="0.25">
      <c r="A2813" t="str">
        <f>T("   901819")</f>
        <v xml:space="preserve">   901819</v>
      </c>
      <c r="B2813" t="s">
        <v>502</v>
      </c>
      <c r="C2813">
        <v>4290183</v>
      </c>
      <c r="D2813">
        <v>88.5</v>
      </c>
    </row>
    <row r="2814" spans="1:4" x14ac:dyDescent="0.25">
      <c r="A2814" t="str">
        <f>T("   901820")</f>
        <v xml:space="preserve">   901820</v>
      </c>
      <c r="B2814" t="str">
        <f>T("   Appareils à rayons ultraviolets ou infrarouges, pour la médecine")</f>
        <v xml:space="preserve">   Appareils à rayons ultraviolets ou infrarouges, pour la médecine</v>
      </c>
      <c r="C2814">
        <v>900000</v>
      </c>
      <c r="D2814">
        <v>480</v>
      </c>
    </row>
    <row r="2815" spans="1:4" x14ac:dyDescent="0.25">
      <c r="A2815" t="str">
        <f>T("   901831")</f>
        <v xml:space="preserve">   901831</v>
      </c>
      <c r="B2815" t="str">
        <f>T("   Seringues, avec ou sans aiguilles, pour la médecine")</f>
        <v xml:space="preserve">   Seringues, avec ou sans aiguilles, pour la médecine</v>
      </c>
      <c r="C2815">
        <v>4478567</v>
      </c>
      <c r="D2815">
        <v>8574</v>
      </c>
    </row>
    <row r="2816" spans="1:4" x14ac:dyDescent="0.25">
      <c r="A2816" t="str">
        <f>T("   901850")</f>
        <v xml:space="preserve">   901850</v>
      </c>
      <c r="B2816" t="str">
        <f>T("   Instruments et appareils d'ophtalmologie, n.d.a.")</f>
        <v xml:space="preserve">   Instruments et appareils d'ophtalmologie, n.d.a.</v>
      </c>
      <c r="C2816">
        <v>946716</v>
      </c>
      <c r="D2816">
        <v>90</v>
      </c>
    </row>
    <row r="2817" spans="1:4" x14ac:dyDescent="0.25">
      <c r="A2817" t="str">
        <f>T("   901890")</f>
        <v xml:space="preserve">   901890</v>
      </c>
      <c r="B2817" t="str">
        <f>T("   Instruments et appareils pour la médecine, la chirurgie ou l'art vétérinaire, n.d.a.")</f>
        <v xml:space="preserve">   Instruments et appareils pour la médecine, la chirurgie ou l'art vétérinaire, n.d.a.</v>
      </c>
      <c r="C2817">
        <v>19566737</v>
      </c>
      <c r="D2817">
        <v>10373</v>
      </c>
    </row>
    <row r="2818" spans="1:4" x14ac:dyDescent="0.25">
      <c r="A2818" t="str">
        <f>T("   901910")</f>
        <v xml:space="preserve">   901910</v>
      </c>
      <c r="B2818" t="str">
        <f>T("   Appareils de mécanothérapie, appareils de massage et appareils de psychotechnie")</f>
        <v xml:space="preserve">   Appareils de mécanothérapie, appareils de massage et appareils de psychotechnie</v>
      </c>
      <c r="C2818">
        <v>23675833</v>
      </c>
      <c r="D2818">
        <v>9539</v>
      </c>
    </row>
    <row r="2819" spans="1:4" x14ac:dyDescent="0.25">
      <c r="A2819" t="str">
        <f>T("   902214")</f>
        <v xml:space="preserve">   902214</v>
      </c>
      <c r="B2819" t="str">
        <f>T("   Appareils à rayons X pour usages médicaux, chirurgicaux ou vétérinaires (à l'excl. des appareils pour l'art dentaire et des appareils de tomographie pilotés par une machine automatique de traitement de l'information)")</f>
        <v xml:space="preserve">   Appareils à rayons X pour usages médicaux, chirurgicaux ou vétérinaires (à l'excl. des appareils pour l'art dentaire et des appareils de tomographie pilotés par une machine automatique de traitement de l'information)</v>
      </c>
      <c r="C2819">
        <v>1215329</v>
      </c>
      <c r="D2819">
        <v>3520</v>
      </c>
    </row>
    <row r="2820" spans="1:4" x14ac:dyDescent="0.25">
      <c r="A2820" t="str">
        <f>T("   902610")</f>
        <v xml:space="preserve">   902610</v>
      </c>
      <c r="B2820" t="str">
        <f>T("   Instruments et appareils pour la mesure ou le contrôle du débit ou du niveau des liquides (à l'excl. des compteurs et des instruments et appareils pour la régulation ou le contrôle automatiques)")</f>
        <v xml:space="preserve">   Instruments et appareils pour la mesure ou le contrôle du débit ou du niveau des liquides (à l'excl. des compteurs et des instruments et appareils pour la régulation ou le contrôle automatiques)</v>
      </c>
      <c r="C2820">
        <v>2723067</v>
      </c>
      <c r="D2820">
        <v>112</v>
      </c>
    </row>
    <row r="2821" spans="1:4" x14ac:dyDescent="0.25">
      <c r="A2821" t="str">
        <f>T("   902680")</f>
        <v xml:space="preserve">   902680</v>
      </c>
      <c r="B2821" t="str">
        <f>T("   Instruments et appareils pour la mesure et le contrôle des caractéristiques variables des liquides ou des gaz, n.d.a.")</f>
        <v xml:space="preserve">   Instruments et appareils pour la mesure et le contrôle des caractéristiques variables des liquides ou des gaz, n.d.a.</v>
      </c>
      <c r="C2821">
        <v>671047</v>
      </c>
      <c r="D2821">
        <v>36</v>
      </c>
    </row>
    <row r="2822" spans="1:4" x14ac:dyDescent="0.25">
      <c r="A2822" t="str">
        <f>T("   902710")</f>
        <v xml:space="preserve">   902710</v>
      </c>
      <c r="B2822" t="str">
        <f>T("   Analyseurs de gaz ou de fumées")</f>
        <v xml:space="preserve">   Analyseurs de gaz ou de fumées</v>
      </c>
      <c r="C2822">
        <v>2940813</v>
      </c>
      <c r="D2822">
        <v>154.5</v>
      </c>
    </row>
    <row r="2823" spans="1:4" x14ac:dyDescent="0.25">
      <c r="A2823" t="str">
        <f>T("   902780")</f>
        <v xml:space="preserve">   902780</v>
      </c>
      <c r="B2823" t="str">
        <f>T("   Instruments et appareils pour analyses physiques ou chimiques, ou pour essais de viscosité, de porosité, de dilatation, de tension superficielle ou simil. ou pour mesures calorimétriques ou acoustiques ou photométriques, n.d.a.")</f>
        <v xml:space="preserve">   Instruments et appareils pour analyses physiques ou chimiques, ou pour essais de viscosité, de porosité, de dilatation, de tension superficielle ou simil. ou pour mesures calorimétriques ou acoustiques ou photométriques, n.d.a.</v>
      </c>
      <c r="C2823">
        <v>8924199</v>
      </c>
      <c r="D2823">
        <v>766</v>
      </c>
    </row>
    <row r="2824" spans="1:4" x14ac:dyDescent="0.25">
      <c r="A2824" t="str">
        <f>T("   902820")</f>
        <v xml:space="preserve">   902820</v>
      </c>
      <c r="B2824" t="str">
        <f>T("   Compteurs de liquides, y.c. les compteurs pour leur étalonnage")</f>
        <v xml:space="preserve">   Compteurs de liquides, y.c. les compteurs pour leur étalonnage</v>
      </c>
      <c r="C2824">
        <v>1450347</v>
      </c>
      <c r="D2824">
        <v>6160</v>
      </c>
    </row>
    <row r="2825" spans="1:4" x14ac:dyDescent="0.25">
      <c r="A2825" t="str">
        <f>T("   902830")</f>
        <v xml:space="preserve">   902830</v>
      </c>
      <c r="B2825" t="str">
        <f>T("   Compteurs d'électricité, y.c. les compteurs pour leur étalonnage")</f>
        <v xml:space="preserve">   Compteurs d'électricité, y.c. les compteurs pour leur étalonnage</v>
      </c>
      <c r="C2825">
        <v>4375866</v>
      </c>
      <c r="D2825">
        <v>15250</v>
      </c>
    </row>
    <row r="2826" spans="1:4" x14ac:dyDescent="0.25">
      <c r="A2826" t="str">
        <f>T("   902890")</f>
        <v xml:space="preserve">   902890</v>
      </c>
      <c r="B2826" t="str">
        <f>T("   Parties et accessoires de compteurs de gaz, de liquides ou d'électricité, n.d.a.")</f>
        <v xml:space="preserve">   Parties et accessoires de compteurs de gaz, de liquides ou d'électricité, n.d.a.</v>
      </c>
      <c r="C2826">
        <v>20285602</v>
      </c>
      <c r="D2826">
        <v>35879</v>
      </c>
    </row>
    <row r="2827" spans="1:4" x14ac:dyDescent="0.25">
      <c r="A2827" t="str">
        <f>T("   902910")</f>
        <v xml:space="preserve">   902910</v>
      </c>
      <c r="B2827" t="str">
        <f>T("   Compteurs de tours, compteurs de production, taximètres, totalisateurs de chemin parcouru, podomètres et compteurs simil. (à l'excl. des compteurs de gaz, de liquides et d'électricité)")</f>
        <v xml:space="preserve">   Compteurs de tours, compteurs de production, taximètres, totalisateurs de chemin parcouru, podomètres et compteurs simil. (à l'excl. des compteurs de gaz, de liquides et d'électricité)</v>
      </c>
      <c r="C2827">
        <v>685010</v>
      </c>
      <c r="D2827">
        <v>501</v>
      </c>
    </row>
    <row r="2828" spans="1:4" x14ac:dyDescent="0.25">
      <c r="A2828" t="str">
        <f>T("   903180")</f>
        <v xml:space="preserve">   903180</v>
      </c>
      <c r="B2828" t="str">
        <f>T("   INSTRUMENTS, APPAREILS ET MACHINES DE MESURE OU DE CONTRÔLE, NON-OPTIQUES, N.D.A. DANS LE PRÉSENT CHAPITRE")</f>
        <v xml:space="preserve">   INSTRUMENTS, APPAREILS ET MACHINES DE MESURE OU DE CONTRÔLE, NON-OPTIQUES, N.D.A. DANS LE PRÉSENT CHAPITRE</v>
      </c>
      <c r="C2828">
        <v>23254578</v>
      </c>
      <c r="D2828">
        <v>2301</v>
      </c>
    </row>
    <row r="2829" spans="1:4" x14ac:dyDescent="0.25">
      <c r="A2829" t="str">
        <f>T("   903210")</f>
        <v xml:space="preserve">   903210</v>
      </c>
      <c r="B2829" t="str">
        <f>T("   Thermostats pour la régulation ou le contrôle automatiques")</f>
        <v xml:space="preserve">   Thermostats pour la régulation ou le contrôle automatiques</v>
      </c>
      <c r="C2829">
        <v>26632</v>
      </c>
      <c r="D2829">
        <v>11</v>
      </c>
    </row>
    <row r="2830" spans="1:4" x14ac:dyDescent="0.25">
      <c r="A2830" t="str">
        <f>T("   903289")</f>
        <v xml:space="preserve">   903289</v>
      </c>
      <c r="B2830" t="s">
        <v>508</v>
      </c>
      <c r="C2830">
        <v>57137236</v>
      </c>
      <c r="D2830">
        <v>72653</v>
      </c>
    </row>
    <row r="2831" spans="1:4" x14ac:dyDescent="0.25">
      <c r="A2831" t="str">
        <f>T("   903290")</f>
        <v xml:space="preserve">   903290</v>
      </c>
      <c r="B2831" t="str">
        <f>T("   Parties et accessoires des instruments et appareils pour la régulation ou le contrôle automatiques, n.d.a.")</f>
        <v xml:space="preserve">   Parties et accessoires des instruments et appareils pour la régulation ou le contrôle automatiques, n.d.a.</v>
      </c>
      <c r="C2831">
        <v>954124</v>
      </c>
      <c r="D2831">
        <v>1111</v>
      </c>
    </row>
    <row r="2832" spans="1:4" x14ac:dyDescent="0.25">
      <c r="A2832" t="str">
        <f>T("   910129")</f>
        <v xml:space="preserve">   910129</v>
      </c>
      <c r="B2832" t="str">
        <f>T("   Montres-bracelets, même incorporant un compteur de temps, à remontage exclusivement manuel, avec boîte en métaux précieux ou en plaqués ou doublés de métaux précieux (sauf celles dont le fond est en acier)")</f>
        <v xml:space="preserve">   Montres-bracelets, même incorporant un compteur de temps, à remontage exclusivement manuel, avec boîte en métaux précieux ou en plaqués ou doublés de métaux précieux (sauf celles dont le fond est en acier)</v>
      </c>
      <c r="C2832">
        <v>1640590</v>
      </c>
      <c r="D2832">
        <v>72</v>
      </c>
    </row>
    <row r="2833" spans="1:4" x14ac:dyDescent="0.25">
      <c r="A2833" t="str">
        <f>T("   910211")</f>
        <v xml:space="preserve">   910211</v>
      </c>
      <c r="B2833" t="str">
        <f>T("   Montres-bracelets, même incorporant un compteur de temps, fonctionnant électriquement, à affichage mécanique seulement (autres que celles en métaux précieux ou en plaqués ou doublés de métaux précieux)")</f>
        <v xml:space="preserve">   Montres-bracelets, même incorporant un compteur de temps, fonctionnant électriquement, à affichage mécanique seulement (autres que celles en métaux précieux ou en plaqués ou doublés de métaux précieux)</v>
      </c>
      <c r="C2833">
        <v>86363</v>
      </c>
      <c r="D2833">
        <v>11</v>
      </c>
    </row>
    <row r="2834" spans="1:4" x14ac:dyDescent="0.25">
      <c r="A2834" t="str">
        <f>T("   910219")</f>
        <v xml:space="preserve">   910219</v>
      </c>
      <c r="B2834" t="str">
        <f>T("   Montres-bracelets, même incorporant un compteur de temps, fonctionnant électriquement, à affichage mécanique et optoélectronique (autres que celles en métaux précieux ou en plaqués ou doublés de métaux précieux)")</f>
        <v xml:space="preserve">   Montres-bracelets, même incorporant un compteur de temps, fonctionnant électriquement, à affichage mécanique et optoélectronique (autres que celles en métaux précieux ou en plaqués ou doublés de métaux précieux)</v>
      </c>
      <c r="C2834">
        <v>1700000</v>
      </c>
      <c r="D2834">
        <v>1360</v>
      </c>
    </row>
    <row r="2835" spans="1:4" x14ac:dyDescent="0.25">
      <c r="A2835" t="str">
        <f>T("   910390")</f>
        <v xml:space="preserve">   910390</v>
      </c>
      <c r="B2835" t="str">
        <f>T("   Réveils et pendulettes, à mouvement de montre, ne fonctionnant pas électriquement (autres que montres-bracelets, montres de poche et montres simil. du n° 9101 ou 9102 ainsi que montres de tableaux de bord et montres simil. du n° 9104)")</f>
        <v xml:space="preserve">   Réveils et pendulettes, à mouvement de montre, ne fonctionnant pas électriquement (autres que montres-bracelets, montres de poche et montres simil. du n° 9101 ou 9102 ainsi que montres de tableaux de bord et montres simil. du n° 9104)</v>
      </c>
      <c r="C2835">
        <v>2238439</v>
      </c>
      <c r="D2835">
        <v>5776</v>
      </c>
    </row>
    <row r="2836" spans="1:4" x14ac:dyDescent="0.25">
      <c r="A2836" t="str">
        <f>T("   910511")</f>
        <v xml:space="preserve">   910511</v>
      </c>
      <c r="B2836" t="str">
        <f>T("   Réveils fonctionnant électriquement")</f>
        <v xml:space="preserve">   Réveils fonctionnant électriquement</v>
      </c>
      <c r="C2836">
        <v>283622</v>
      </c>
      <c r="D2836">
        <v>230</v>
      </c>
    </row>
    <row r="2837" spans="1:4" x14ac:dyDescent="0.25">
      <c r="A2837" t="str">
        <f>T("   910521")</f>
        <v xml:space="preserve">   910521</v>
      </c>
      <c r="B2837" t="str">
        <f>T("   PENDULES ET HORLOGES, MURALES, FONCTIONNANT ÉLECTRIQUEMENT [01/01/1988-31/12/1994: PENDULES ET HORLOGES MURALES, A PILE OU A ACCUMULATEUR OU FONCTIONNANT SUR SECTEUR]")</f>
        <v xml:space="preserve">   PENDULES ET HORLOGES, MURALES, FONCTIONNANT ÉLECTRIQUEMENT [01/01/1988-31/12/1994: PENDULES ET HORLOGES MURALES, A PILE OU A ACCUMULATEUR OU FONCTIONNANT SUR SECTEUR]</v>
      </c>
      <c r="C2837">
        <v>797387</v>
      </c>
      <c r="D2837">
        <v>1880</v>
      </c>
    </row>
    <row r="2838" spans="1:4" x14ac:dyDescent="0.25">
      <c r="A2838" t="str">
        <f>T("   910529")</f>
        <v xml:space="preserve">   910529</v>
      </c>
      <c r="B2838" t="str">
        <f>T("   Pendules et horloges murales ne fonctionnant pas électriquement")</f>
        <v xml:space="preserve">   Pendules et horloges murales ne fonctionnant pas électriquement</v>
      </c>
      <c r="C2838">
        <v>2386990</v>
      </c>
      <c r="D2838">
        <v>5113</v>
      </c>
    </row>
    <row r="2839" spans="1:4" x14ac:dyDescent="0.25">
      <c r="A2839" t="str">
        <f>T("   910819")</f>
        <v xml:space="preserve">   910819</v>
      </c>
      <c r="B2839" t="str">
        <f>T("   Mouvements de montres, complets et assemblés, fonctionnant électriquement, à affichage mécanique, même sans cadran ni aiguilles, et optoélectronique")</f>
        <v xml:space="preserve">   Mouvements de montres, complets et assemblés, fonctionnant électriquement, à affichage mécanique, même sans cadran ni aiguilles, et optoélectronique</v>
      </c>
      <c r="C2839">
        <v>231554</v>
      </c>
      <c r="D2839">
        <v>450</v>
      </c>
    </row>
    <row r="2840" spans="1:4" x14ac:dyDescent="0.25">
      <c r="A2840" t="str">
        <f>T("   920290")</f>
        <v xml:space="preserve">   920290</v>
      </c>
      <c r="B2840" t="str">
        <f>T("   Guitares, harpes et autres instruments de musique à cordes (autres qu'à clavier et à cordes frottées)")</f>
        <v xml:space="preserve">   Guitares, harpes et autres instruments de musique à cordes (autres qu'à clavier et à cordes frottées)</v>
      </c>
      <c r="C2840">
        <v>100664</v>
      </c>
      <c r="D2840">
        <v>49</v>
      </c>
    </row>
    <row r="2841" spans="1:4" x14ac:dyDescent="0.25">
      <c r="A2841" t="str">
        <f>T("   920600")</f>
        <v xml:space="preserve">   920600</v>
      </c>
      <c r="B2841" t="str">
        <f>T("   INSTRUMENTS DE MUSIQUE À PERCUSSION, P.EX. TAMBOURS, CAISSES, XYLOPHONES, CYMBALES, CASTAGNETTES, MARACAS [01/01/1988-31/12/1994: TAMBOURS, CAISSES, XYLOPHONES, CYMBALES, CASTAGNETTES, MARACAS ET AUTRES INSTRUMENTS DE MUSIQUE A PERCUSSION]")</f>
        <v xml:space="preserve">   INSTRUMENTS DE MUSIQUE À PERCUSSION, P.EX. TAMBOURS, CAISSES, XYLOPHONES, CYMBALES, CASTAGNETTES, MARACAS [01/01/1988-31/12/1994: TAMBOURS, CAISSES, XYLOPHONES, CYMBALES, CASTAGNETTES, MARACAS ET AUTRES INSTRUMENTS DE MUSIQUE A PERCUSSION]</v>
      </c>
      <c r="C2841">
        <v>64309</v>
      </c>
      <c r="D2841">
        <v>400</v>
      </c>
    </row>
    <row r="2842" spans="1:4" x14ac:dyDescent="0.25">
      <c r="A2842" t="str">
        <f>T("   920790")</f>
        <v xml:space="preserve">   920790</v>
      </c>
      <c r="B2842" t="str">
        <f>T("   Accordéons électriques et autres instruments de musique électriques")</f>
        <v xml:space="preserve">   Accordéons électriques et autres instruments de musique électriques</v>
      </c>
      <c r="C2842">
        <v>510000</v>
      </c>
      <c r="D2842">
        <v>400</v>
      </c>
    </row>
    <row r="2843" spans="1:4" x14ac:dyDescent="0.25">
      <c r="A2843" t="str">
        <f>T("   920810")</f>
        <v xml:space="preserve">   920810</v>
      </c>
      <c r="B2843" t="str">
        <f>T("   Boîtes à musique")</f>
        <v xml:space="preserve">   Boîtes à musique</v>
      </c>
      <c r="C2843">
        <v>1589045</v>
      </c>
      <c r="D2843">
        <v>2800</v>
      </c>
    </row>
    <row r="2844" spans="1:4" x14ac:dyDescent="0.25">
      <c r="A2844" t="str">
        <f>T("   920890")</f>
        <v xml:space="preserve">   920890</v>
      </c>
      <c r="B2844" t="str">
        <f>T("   Orchestrions, orgues de Barbarie, oiseaux chanteurs, scies musicales et autres instruments de musique non repris dans le présent chapitre; appeaux, sifflets, cornes d'appel et autres instruments d'appel ou de signalisation à bouche")</f>
        <v xml:space="preserve">   Orchestrions, orgues de Barbarie, oiseaux chanteurs, scies musicales et autres instruments de musique non repris dans le présent chapitre; appeaux, sifflets, cornes d'appel et autres instruments d'appel ou de signalisation à bouche</v>
      </c>
      <c r="C2844">
        <v>3000000</v>
      </c>
      <c r="D2844">
        <v>3080</v>
      </c>
    </row>
    <row r="2845" spans="1:4" x14ac:dyDescent="0.25">
      <c r="A2845" t="str">
        <f>T("   940120")</f>
        <v xml:space="preserve">   940120</v>
      </c>
      <c r="B2845" t="str">
        <f>T("   Sièges pour véhicules automobiles")</f>
        <v xml:space="preserve">   Sièges pour véhicules automobiles</v>
      </c>
      <c r="C2845">
        <v>535415</v>
      </c>
      <c r="D2845">
        <v>156</v>
      </c>
    </row>
    <row r="2846" spans="1:4" x14ac:dyDescent="0.25">
      <c r="A2846" t="str">
        <f>T("   940130")</f>
        <v xml:space="preserve">   940130</v>
      </c>
      <c r="B2846" t="str">
        <f>T("   Sièges pivotants, ajustables en hauteur (à l'excl. de ceux pour la médecine, la chirurgie, l'art dentaire ou vétérinaire, ainsi que des fauteuils pour salons de coiffure)")</f>
        <v xml:space="preserve">   Sièges pivotants, ajustables en hauteur (à l'excl. de ceux pour la médecine, la chirurgie, l'art dentaire ou vétérinaire, ainsi que des fauteuils pour salons de coiffure)</v>
      </c>
      <c r="C2846">
        <v>43843095</v>
      </c>
      <c r="D2846">
        <v>40954</v>
      </c>
    </row>
    <row r="2847" spans="1:4" x14ac:dyDescent="0.25">
      <c r="A2847" t="str">
        <f>T("   940140")</f>
        <v xml:space="preserve">   940140</v>
      </c>
      <c r="B2847" t="str">
        <f>T("   Sièges autres que le matériel de camping ou de jardin, transformables en lits (à l'excl. de ceux pour la médecine, l'art dentaire ou la chirurgie)")</f>
        <v xml:space="preserve">   Sièges autres que le matériel de camping ou de jardin, transformables en lits (à l'excl. de ceux pour la médecine, l'art dentaire ou la chirurgie)</v>
      </c>
      <c r="C2847">
        <v>209907</v>
      </c>
      <c r="D2847">
        <v>279</v>
      </c>
    </row>
    <row r="2848" spans="1:4" x14ac:dyDescent="0.25">
      <c r="A2848" t="str">
        <f>T("   940150")</f>
        <v xml:space="preserve">   940150</v>
      </c>
      <c r="B2848" t="str">
        <f>T("   Sièges en rotin, en osier, en bambou ou en matières simil.")</f>
        <v xml:space="preserve">   Sièges en rotin, en osier, en bambou ou en matières simil.</v>
      </c>
      <c r="C2848">
        <v>11816810</v>
      </c>
      <c r="D2848">
        <v>22627</v>
      </c>
    </row>
    <row r="2849" spans="1:4" x14ac:dyDescent="0.25">
      <c r="A2849" t="str">
        <f>T("   940161")</f>
        <v xml:space="preserve">   940161</v>
      </c>
      <c r="B2849" t="str">
        <f>T("   Sièges, avec bâti en bois, rembourrés (non transformables en lits)")</f>
        <v xml:space="preserve">   Sièges, avec bâti en bois, rembourrés (non transformables en lits)</v>
      </c>
      <c r="C2849">
        <v>155306527</v>
      </c>
      <c r="D2849">
        <v>118487</v>
      </c>
    </row>
    <row r="2850" spans="1:4" x14ac:dyDescent="0.25">
      <c r="A2850" t="str">
        <f>T("   940169")</f>
        <v xml:space="preserve">   940169</v>
      </c>
      <c r="B2850" t="str">
        <f>T("   Sièges, avec bâti en bois, non rembourrés")</f>
        <v xml:space="preserve">   Sièges, avec bâti en bois, non rembourrés</v>
      </c>
      <c r="C2850">
        <v>31128801</v>
      </c>
      <c r="D2850">
        <v>48717</v>
      </c>
    </row>
    <row r="2851" spans="1:4" x14ac:dyDescent="0.25">
      <c r="A2851" t="str">
        <f>T("   940171")</f>
        <v xml:space="preserve">   940171</v>
      </c>
      <c r="B2851" t="str">
        <f>T("   Sièges, avec bâti en métal, rembourrés (autres que pour véhicules aériens ou automobiles, autres que fauteuils pivotants ajustables en hauteur et autres que pour la médecine, l'art dentaire ou la chirurgie)")</f>
        <v xml:space="preserve">   Sièges, avec bâti en métal, rembourrés (autres que pour véhicules aériens ou automobiles, autres que fauteuils pivotants ajustables en hauteur et autres que pour la médecine, l'art dentaire ou la chirurgie)</v>
      </c>
      <c r="C2851">
        <v>30059175</v>
      </c>
      <c r="D2851">
        <v>32400</v>
      </c>
    </row>
    <row r="2852" spans="1:4" x14ac:dyDescent="0.25">
      <c r="A2852" t="str">
        <f>T("   940179")</f>
        <v xml:space="preserve">   940179</v>
      </c>
      <c r="B2852" t="str">
        <f>T("   Sièges, avec bâti en métal non rembourrés (autres que fauteuils pivotants ajustables en hauteur et autres que pour la médecine, l'art dentaire ou la chirurgie)")</f>
        <v xml:space="preserve">   Sièges, avec bâti en métal non rembourrés (autres que fauteuils pivotants ajustables en hauteur et autres que pour la médecine, l'art dentaire ou la chirurgie)</v>
      </c>
      <c r="C2852">
        <v>14787450</v>
      </c>
      <c r="D2852">
        <v>23235</v>
      </c>
    </row>
    <row r="2853" spans="1:4" x14ac:dyDescent="0.25">
      <c r="A2853" t="str">
        <f>T("   940180")</f>
        <v xml:space="preserve">   940180</v>
      </c>
      <c r="B2853" t="str">
        <f>T("   Sièges, n.d.a.")</f>
        <v xml:space="preserve">   Sièges, n.d.a.</v>
      </c>
      <c r="C2853">
        <v>29209068</v>
      </c>
      <c r="D2853">
        <v>48257</v>
      </c>
    </row>
    <row r="2854" spans="1:4" x14ac:dyDescent="0.25">
      <c r="A2854" t="str">
        <f>T("   940190")</f>
        <v xml:space="preserve">   940190</v>
      </c>
      <c r="B2854" t="str">
        <f>T("   Parties de sièges, n.d.a.")</f>
        <v xml:space="preserve">   Parties de sièges, n.d.a.</v>
      </c>
      <c r="C2854">
        <v>942293</v>
      </c>
      <c r="D2854">
        <v>584</v>
      </c>
    </row>
    <row r="2855" spans="1:4" x14ac:dyDescent="0.25">
      <c r="A2855" t="str">
        <f>T("   940210")</f>
        <v xml:space="preserve">   940210</v>
      </c>
      <c r="B2855" t="str">
        <f>T("   Fauteuils de dentistes, fauteuils pour salons de coiffure et fauteuils simil., avec dispositif à la fois d'orientation et d'élévation, et leurs parties, n.d.a.")</f>
        <v xml:space="preserve">   Fauteuils de dentistes, fauteuils pour salons de coiffure et fauteuils simil., avec dispositif à la fois d'orientation et d'élévation, et leurs parties, n.d.a.</v>
      </c>
      <c r="C2855">
        <v>1000000</v>
      </c>
      <c r="D2855">
        <v>400</v>
      </c>
    </row>
    <row r="2856" spans="1:4" x14ac:dyDescent="0.25">
      <c r="A2856" t="str">
        <f>T("   940290")</f>
        <v xml:space="preserve">   940290</v>
      </c>
      <c r="B2856" t="str">
        <f>T("   Tables d'opération, tables d'examen et autre mobilier pour la médecine, la chirurgie, l'art dentaire ou vétérinaire (sauf fauteuils de dentistes et autres sièges, tables d'examen radiographique, civières et brancards, y.c. chariots-brancards)")</f>
        <v xml:space="preserve">   Tables d'opération, tables d'examen et autre mobilier pour la médecine, la chirurgie, l'art dentaire ou vétérinaire (sauf fauteuils de dentistes et autres sièges, tables d'examen radiographique, civières et brancards, y.c. chariots-brancards)</v>
      </c>
      <c r="C2856">
        <v>4717000</v>
      </c>
      <c r="D2856">
        <v>10962</v>
      </c>
    </row>
    <row r="2857" spans="1:4" x14ac:dyDescent="0.25">
      <c r="A2857" t="str">
        <f>T("   940310")</f>
        <v xml:space="preserve">   940310</v>
      </c>
      <c r="B2857" t="str">
        <f>T("   Meubles de bureau en métal (sauf sièges)")</f>
        <v xml:space="preserve">   Meubles de bureau en métal (sauf sièges)</v>
      </c>
      <c r="C2857">
        <v>26117709</v>
      </c>
      <c r="D2857">
        <v>44314</v>
      </c>
    </row>
    <row r="2858" spans="1:4" x14ac:dyDescent="0.25">
      <c r="A2858" t="str">
        <f>T("   940320")</f>
        <v xml:space="preserve">   940320</v>
      </c>
      <c r="B2858"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2858">
        <v>20245898</v>
      </c>
      <c r="D2858">
        <v>37129</v>
      </c>
    </row>
    <row r="2859" spans="1:4" x14ac:dyDescent="0.25">
      <c r="A2859" t="str">
        <f>T("   940330")</f>
        <v xml:space="preserve">   940330</v>
      </c>
      <c r="B2859" t="str">
        <f>T("   Meubles de bureau en bois (sauf sièges)")</f>
        <v xml:space="preserve">   Meubles de bureau en bois (sauf sièges)</v>
      </c>
      <c r="C2859">
        <v>147933646</v>
      </c>
      <c r="D2859">
        <v>342686</v>
      </c>
    </row>
    <row r="2860" spans="1:4" x14ac:dyDescent="0.25">
      <c r="A2860" t="str">
        <f>T("   940340")</f>
        <v xml:space="preserve">   940340</v>
      </c>
      <c r="B2860" t="str">
        <f>T("   Meubles de cuisine, en bois (sauf sièges)")</f>
        <v xml:space="preserve">   Meubles de cuisine, en bois (sauf sièges)</v>
      </c>
      <c r="C2860">
        <v>19484817</v>
      </c>
      <c r="D2860">
        <v>33125</v>
      </c>
    </row>
    <row r="2861" spans="1:4" x14ac:dyDescent="0.25">
      <c r="A2861" t="str">
        <f>T("   940350")</f>
        <v xml:space="preserve">   940350</v>
      </c>
      <c r="B2861" t="str">
        <f>T("   Meubles pour chambres à coucher, en bois (sauf sièges)")</f>
        <v xml:space="preserve">   Meubles pour chambres à coucher, en bois (sauf sièges)</v>
      </c>
      <c r="C2861">
        <v>99553525</v>
      </c>
      <c r="D2861">
        <v>183228.5</v>
      </c>
    </row>
    <row r="2862" spans="1:4" x14ac:dyDescent="0.25">
      <c r="A2862" t="str">
        <f>T("   940360")</f>
        <v xml:space="preserve">   940360</v>
      </c>
      <c r="B2862" t="str">
        <f>T("   Meubles en bois (autres que pour bureaux, cuisines ou chambres à coucher et autres que sièges)")</f>
        <v xml:space="preserve">   Meubles en bois (autres que pour bureaux, cuisines ou chambres à coucher et autres que sièges)</v>
      </c>
      <c r="C2862">
        <v>186925276</v>
      </c>
      <c r="D2862">
        <v>552751</v>
      </c>
    </row>
    <row r="2863" spans="1:4" x14ac:dyDescent="0.25">
      <c r="A2863" t="str">
        <f>T("   940370")</f>
        <v xml:space="preserve">   940370</v>
      </c>
      <c r="B2863" t="str">
        <f>T("   Meubles en matières plastiques (autres que pour la médecine, l'art dentaire et vétérinaire, la chirurgie et autres que sièges)")</f>
        <v xml:space="preserve">   Meubles en matières plastiques (autres que pour la médecine, l'art dentaire et vétérinaire, la chirurgie et autres que sièges)</v>
      </c>
      <c r="C2863">
        <v>10704592</v>
      </c>
      <c r="D2863">
        <v>34670</v>
      </c>
    </row>
    <row r="2864" spans="1:4" x14ac:dyDescent="0.25">
      <c r="A2864" t="str">
        <f>T("   940380")</f>
        <v xml:space="preserve">   940380</v>
      </c>
      <c r="B2864" t="str">
        <f>T("   Meubles en rotin, osier, bambou ou autres matières (sauf métal, bois et matières plastiques)")</f>
        <v xml:space="preserve">   Meubles en rotin, osier, bambou ou autres matières (sauf métal, bois et matières plastiques)</v>
      </c>
      <c r="C2864">
        <v>284465923</v>
      </c>
      <c r="D2864">
        <v>819289</v>
      </c>
    </row>
    <row r="2865" spans="1:4" x14ac:dyDescent="0.25">
      <c r="A2865" t="str">
        <f>T("   940390")</f>
        <v xml:space="preserve">   940390</v>
      </c>
      <c r="B2865" t="str">
        <f>T("   PARTIES DE MEUBLES, N.D.A. (AUTRES QUE DE SIÈGES ET MOBILIER POUR LA MÉDECINE, L'ART DENTAIRE ET VÉTÉRINAIRE OU LA CHIRURGIE)")</f>
        <v xml:space="preserve">   PARTIES DE MEUBLES, N.D.A. (AUTRES QUE DE SIÈGES ET MOBILIER POUR LA MÉDECINE, L'ART DENTAIRE ET VÉTÉRINAIRE OU LA CHIRURGIE)</v>
      </c>
      <c r="C2865">
        <v>2418176</v>
      </c>
      <c r="D2865">
        <v>6223</v>
      </c>
    </row>
    <row r="2866" spans="1:4" x14ac:dyDescent="0.25">
      <c r="A2866" t="str">
        <f>T("   940410")</f>
        <v xml:space="preserve">   940410</v>
      </c>
      <c r="B2866" t="str">
        <f>T("   Sommiers (sauf ressorts pour sièges)")</f>
        <v xml:space="preserve">   Sommiers (sauf ressorts pour sièges)</v>
      </c>
      <c r="C2866">
        <v>10245558</v>
      </c>
      <c r="D2866">
        <v>9691</v>
      </c>
    </row>
    <row r="2867" spans="1:4" x14ac:dyDescent="0.25">
      <c r="A2867" t="str">
        <f>T("   940421")</f>
        <v xml:space="preserve">   940421</v>
      </c>
      <c r="B2867" t="str">
        <f>T("   Matelas en caoutchouc alvéolaire ou en matières plastiques alvéolaires")</f>
        <v xml:space="preserve">   Matelas en caoutchouc alvéolaire ou en matières plastiques alvéolaires</v>
      </c>
      <c r="C2867">
        <v>1972490</v>
      </c>
      <c r="D2867">
        <v>870</v>
      </c>
    </row>
    <row r="2868" spans="1:4" x14ac:dyDescent="0.25">
      <c r="A2868" t="str">
        <f>T("   940429")</f>
        <v xml:space="preserve">   940429</v>
      </c>
      <c r="B2868" t="str">
        <f>T("   Matelas à ressorts ou rembourrés, ou garnis intérieurement de matières autres que le caoutchouc alvéolaire ou les matières plastiques alvéolaires (sauf matelas à eau, matelas pneumatiques et oreillers)")</f>
        <v xml:space="preserve">   Matelas à ressorts ou rembourrés, ou garnis intérieurement de matières autres que le caoutchouc alvéolaire ou les matières plastiques alvéolaires (sauf matelas à eau, matelas pneumatiques et oreillers)</v>
      </c>
      <c r="C2868">
        <v>23356271</v>
      </c>
      <c r="D2868">
        <v>23588</v>
      </c>
    </row>
    <row r="2869" spans="1:4" x14ac:dyDescent="0.25">
      <c r="A2869" t="str">
        <f>T("   940490")</f>
        <v xml:space="preserve">   940490</v>
      </c>
      <c r="B2869" t="s">
        <v>514</v>
      </c>
      <c r="C2869">
        <v>9365977</v>
      </c>
      <c r="D2869">
        <v>36387</v>
      </c>
    </row>
    <row r="2870" spans="1:4" x14ac:dyDescent="0.25">
      <c r="A2870" t="str">
        <f>T("   940510")</f>
        <v xml:space="preserve">   940510</v>
      </c>
      <c r="B2870" t="str">
        <f>T("   Lustres et autres appareils d'éclairage électrique à suspendre ou à fixer au plafond ou au mur (sauf pour l'éclairage des espaces et voies publiques)")</f>
        <v xml:space="preserve">   Lustres et autres appareils d'éclairage électrique à suspendre ou à fixer au plafond ou au mur (sauf pour l'éclairage des espaces et voies publiques)</v>
      </c>
      <c r="C2870">
        <v>43659395</v>
      </c>
      <c r="D2870">
        <v>85890</v>
      </c>
    </row>
    <row r="2871" spans="1:4" x14ac:dyDescent="0.25">
      <c r="A2871" t="str">
        <f>T("   940520")</f>
        <v xml:space="preserve">   940520</v>
      </c>
      <c r="B2871" t="str">
        <f>T("   Lampes de chevet, lampes de bureau et lampadaires d'intérieur, électriques")</f>
        <v xml:space="preserve">   Lampes de chevet, lampes de bureau et lampadaires d'intérieur, électriques</v>
      </c>
      <c r="C2871">
        <v>1397716</v>
      </c>
      <c r="D2871">
        <v>182</v>
      </c>
    </row>
    <row r="2872" spans="1:4" x14ac:dyDescent="0.25">
      <c r="A2872" t="str">
        <f>T("   940530")</f>
        <v xml:space="preserve">   940530</v>
      </c>
      <c r="B2872" t="str">
        <f>T("   GUIRLANDES ÉLECTRIQUES POUR ARBRES DE NOÙL")</f>
        <v xml:space="preserve">   GUIRLANDES ÉLECTRIQUES POUR ARBRES DE NOÙL</v>
      </c>
      <c r="C2872">
        <v>4075480</v>
      </c>
      <c r="D2872">
        <v>15083</v>
      </c>
    </row>
    <row r="2873" spans="1:4" x14ac:dyDescent="0.25">
      <c r="A2873" t="str">
        <f>T("   940540")</f>
        <v xml:space="preserve">   940540</v>
      </c>
      <c r="B2873" t="str">
        <f>T("   Appareils d'éclairage électrique, n.d.a.")</f>
        <v xml:space="preserve">   Appareils d'éclairage électrique, n.d.a.</v>
      </c>
      <c r="C2873">
        <v>17041485</v>
      </c>
      <c r="D2873">
        <v>30067.5</v>
      </c>
    </row>
    <row r="2874" spans="1:4" x14ac:dyDescent="0.25">
      <c r="A2874" t="str">
        <f>T("   940550")</f>
        <v xml:space="preserve">   940550</v>
      </c>
      <c r="B2874" t="str">
        <f>T("   Appareils d'éclairage non-électriques, n.d.a.")</f>
        <v xml:space="preserve">   Appareils d'éclairage non-électriques, n.d.a.</v>
      </c>
      <c r="C2874">
        <v>2893312</v>
      </c>
      <c r="D2874">
        <v>6041</v>
      </c>
    </row>
    <row r="2875" spans="1:4" x14ac:dyDescent="0.25">
      <c r="A2875" t="str">
        <f>T("   940560")</f>
        <v xml:space="preserve">   940560</v>
      </c>
      <c r="B2875" t="str">
        <f>T("   Lampes-réclames, enseignes lumineuses, plaques indicatrices lumineuses et articles simil., possédant une source d'éclairage fixée à demeure")</f>
        <v xml:space="preserve">   Lampes-réclames, enseignes lumineuses, plaques indicatrices lumineuses et articles simil., possédant une source d'éclairage fixée à demeure</v>
      </c>
      <c r="C2875">
        <v>3200000</v>
      </c>
      <c r="D2875">
        <v>3320</v>
      </c>
    </row>
    <row r="2876" spans="1:4" x14ac:dyDescent="0.25">
      <c r="A2876" t="str">
        <f>T("   940599")</f>
        <v xml:space="preserve">   940599</v>
      </c>
      <c r="B2876" t="str">
        <f>T("   Parties d'appareils d'éclairage, de lampes-réclames, d'enseignes lumineuses, de plaques indicatrices lumineuses, et simil., n.d.a.")</f>
        <v xml:space="preserve">   Parties d'appareils d'éclairage, de lampes-réclames, d'enseignes lumineuses, de plaques indicatrices lumineuses, et simil., n.d.a.</v>
      </c>
      <c r="C2876">
        <v>1180677</v>
      </c>
      <c r="D2876">
        <v>6510</v>
      </c>
    </row>
    <row r="2877" spans="1:4" x14ac:dyDescent="0.25">
      <c r="A2877" t="str">
        <f>T("   940600")</f>
        <v xml:space="preserve">   940600</v>
      </c>
      <c r="B2877" t="str">
        <f>T("   Constructions préfabriquées, même incomplètes ou non encore montées")</f>
        <v xml:space="preserve">   Constructions préfabriquées, même incomplètes ou non encore montées</v>
      </c>
      <c r="C2877">
        <v>318522881</v>
      </c>
      <c r="D2877">
        <v>549167</v>
      </c>
    </row>
    <row r="2878" spans="1:4" x14ac:dyDescent="0.25">
      <c r="A2878" t="str">
        <f>T("   950100")</f>
        <v xml:space="preserve">   950100</v>
      </c>
      <c r="B2878" t="str">
        <f>T("   JOUETS À ROUES CONÇUS POUR ÊTRE MONTÉS PAR LES ENFANTS, P.EX. TRICYCLES, TROTTINETTES, AUTOS À PÉDALES (À L'EXCL. DES CYCLES HABITUELS AVEC ROULEMENT À BILLES); LANDAUS ET POUSSETTES POUR POUPÉES")</f>
        <v xml:space="preserve">   JOUETS À ROUES CONÇUS POUR ÊTRE MONTÉS PAR LES ENFANTS, P.EX. TRICYCLES, TROTTINETTES, AUTOS À PÉDALES (À L'EXCL. DES CYCLES HABITUELS AVEC ROULEMENT À BILLES); LANDAUS ET POUSSETTES POUR POUPÉES</v>
      </c>
      <c r="C2878">
        <v>11373361</v>
      </c>
      <c r="D2878">
        <v>30815</v>
      </c>
    </row>
    <row r="2879" spans="1:4" x14ac:dyDescent="0.25">
      <c r="A2879" t="str">
        <f>T("   950210")</f>
        <v xml:space="preserve">   950210</v>
      </c>
      <c r="B2879" t="str">
        <f>T("   Poupées représentant uniquement l'être humain, habillées ou non")</f>
        <v xml:space="preserve">   Poupées représentant uniquement l'être humain, habillées ou non</v>
      </c>
      <c r="C2879">
        <v>3086777</v>
      </c>
      <c r="D2879">
        <v>5849</v>
      </c>
    </row>
    <row r="2880" spans="1:4" x14ac:dyDescent="0.25">
      <c r="A2880" t="str">
        <f>T("   950299")</f>
        <v xml:space="preserve">   950299</v>
      </c>
      <c r="B2880" t="str">
        <f>T("   Parties et accessoires pour poupées représentant uniquement l'être humain, n.d.a.")</f>
        <v xml:space="preserve">   Parties et accessoires pour poupées représentant uniquement l'être humain, n.d.a.</v>
      </c>
      <c r="C2880">
        <v>59105764</v>
      </c>
      <c r="D2880">
        <v>131419</v>
      </c>
    </row>
    <row r="2881" spans="1:4" x14ac:dyDescent="0.25">
      <c r="A2881" t="str">
        <f>T("   950310")</f>
        <v xml:space="preserve">   950310</v>
      </c>
      <c r="B2881" t="str">
        <f>T("   Modèles réduits de trains électriques, y.c. les rails, les signaux et autres accessoires")</f>
        <v xml:space="preserve">   Modèles réduits de trains électriques, y.c. les rails, les signaux et autres accessoires</v>
      </c>
      <c r="C2881">
        <v>1851850</v>
      </c>
      <c r="D2881">
        <v>884</v>
      </c>
    </row>
    <row r="2882" spans="1:4" x14ac:dyDescent="0.25">
      <c r="A2882" t="str">
        <f>T("   950320")</f>
        <v xml:space="preserve">   950320</v>
      </c>
      <c r="B2882" t="str">
        <f>T("   Modèles réduits, animés ou non, à assembler (sauf trains électriques, y.c. les rails, signaux et autres accessoires)")</f>
        <v xml:space="preserve">   Modèles réduits, animés ou non, à assembler (sauf trains électriques, y.c. les rails, signaux et autres accessoires)</v>
      </c>
      <c r="C2882">
        <v>861028</v>
      </c>
      <c r="D2882">
        <v>563</v>
      </c>
    </row>
    <row r="2883" spans="1:4" x14ac:dyDescent="0.25">
      <c r="A2883" t="str">
        <f>T("   950341")</f>
        <v xml:space="preserve">   950341</v>
      </c>
      <c r="B2883" t="str">
        <f>T("   Jouets représentant des animaux ou des créatures non humaines, rembourrés")</f>
        <v xml:space="preserve">   Jouets représentant des animaux ou des créatures non humaines, rembourrés</v>
      </c>
      <c r="C2883">
        <v>55858</v>
      </c>
      <c r="D2883">
        <v>77</v>
      </c>
    </row>
    <row r="2884" spans="1:4" x14ac:dyDescent="0.25">
      <c r="A2884" t="str">
        <f>T("   950349")</f>
        <v xml:space="preserve">   950349</v>
      </c>
      <c r="B2884" t="str">
        <f>T("   JOUETS REPRÉSENTANT DES ANIMAUX OU DES CRÉATURES NON-HUMAINES, NON-REMBOURRÉS")</f>
        <v xml:space="preserve">   JOUETS REPRÉSENTANT DES ANIMAUX OU DES CRÉATURES NON-HUMAINES, NON-REMBOURRÉS</v>
      </c>
      <c r="C2884">
        <v>1001748</v>
      </c>
      <c r="D2884">
        <v>3736</v>
      </c>
    </row>
    <row r="2885" spans="1:4" x14ac:dyDescent="0.25">
      <c r="A2885" t="str">
        <f>T("   950350")</f>
        <v xml:space="preserve">   950350</v>
      </c>
      <c r="B2885" t="str">
        <f>T("   INSTRUMENTS ET APPAREILS DE MUSIQUE-JOUETS")</f>
        <v xml:space="preserve">   INSTRUMENTS ET APPAREILS DE MUSIQUE-JOUETS</v>
      </c>
      <c r="C2885">
        <v>2018948</v>
      </c>
      <c r="D2885">
        <v>5775</v>
      </c>
    </row>
    <row r="2886" spans="1:4" x14ac:dyDescent="0.25">
      <c r="A2886" t="str">
        <f>T("   950370")</f>
        <v xml:space="preserve">   950370</v>
      </c>
      <c r="B2886" t="str">
        <f>T("   Jouets présentés en assortiments ou en panoplies (sauf trains électriques, y.c. accessoires, sauf modèles réduits à assembler, cubes et jeux de construction et puzzles)")</f>
        <v xml:space="preserve">   Jouets présentés en assortiments ou en panoplies (sauf trains électriques, y.c. accessoires, sauf modèles réduits à assembler, cubes et jeux de construction et puzzles)</v>
      </c>
      <c r="C2886">
        <v>4299973</v>
      </c>
      <c r="D2886">
        <v>5801</v>
      </c>
    </row>
    <row r="2887" spans="1:4" x14ac:dyDescent="0.25">
      <c r="A2887" t="str">
        <f>T("   950380")</f>
        <v xml:space="preserve">   950380</v>
      </c>
      <c r="B2887" t="str">
        <f>T("   JOUETS ET MODÈLES, À MOTEUR (SAUF TRAINS ÉLECTRIQUES, Y.C. LES ACCESSOIRES, SAUF MODÈLES RÉDUITS À ASSEMBLER, JOUETS REPRÉSENTANT DES ANIMAUX OU DES CRÉATURES NON-HUMAINES)")</f>
        <v xml:space="preserve">   JOUETS ET MODÈLES, À MOTEUR (SAUF TRAINS ÉLECTRIQUES, Y.C. LES ACCESSOIRES, SAUF MODÈLES RÉDUITS À ASSEMBLER, JOUETS REPRÉSENTANT DES ANIMAUX OU DES CRÉATURES NON-HUMAINES)</v>
      </c>
      <c r="C2887">
        <v>6338637</v>
      </c>
      <c r="D2887">
        <v>7037</v>
      </c>
    </row>
    <row r="2888" spans="1:4" x14ac:dyDescent="0.25">
      <c r="A2888" t="str">
        <f>T("   950390")</f>
        <v xml:space="preserve">   950390</v>
      </c>
      <c r="B2888" t="str">
        <f>T("   Jouets, n.d.a.")</f>
        <v xml:space="preserve">   Jouets, n.d.a.</v>
      </c>
      <c r="C2888">
        <v>42984173</v>
      </c>
      <c r="D2888">
        <v>100400</v>
      </c>
    </row>
    <row r="2889" spans="1:4" x14ac:dyDescent="0.25">
      <c r="A2889" t="str">
        <f>T("   950420")</f>
        <v xml:space="preserve">   950420</v>
      </c>
      <c r="B2889" t="str">
        <f>T("   BILLARDS DE TOUT GENRE ET LEURS ACCESSOIRES")</f>
        <v xml:space="preserve">   BILLARDS DE TOUT GENRE ET LEURS ACCESSOIRES</v>
      </c>
      <c r="C2889">
        <v>4475146</v>
      </c>
      <c r="D2889">
        <v>3116</v>
      </c>
    </row>
    <row r="2890" spans="1:4" x14ac:dyDescent="0.25">
      <c r="A2890" t="str">
        <f>T("   950440")</f>
        <v xml:space="preserve">   950440</v>
      </c>
      <c r="B2890" t="str">
        <f>T("   Cartes à jouer")</f>
        <v xml:space="preserve">   Cartes à jouer</v>
      </c>
      <c r="C2890">
        <v>6676453</v>
      </c>
      <c r="D2890">
        <v>66630</v>
      </c>
    </row>
    <row r="2891" spans="1:4" x14ac:dyDescent="0.25">
      <c r="A2891" t="str">
        <f>T("   950490")</f>
        <v xml:space="preserve">   950490</v>
      </c>
      <c r="B2891" t="s">
        <v>516</v>
      </c>
      <c r="C2891">
        <v>2808982</v>
      </c>
      <c r="D2891">
        <v>734</v>
      </c>
    </row>
    <row r="2892" spans="1:4" x14ac:dyDescent="0.25">
      <c r="A2892" t="str">
        <f>T("   950510")</f>
        <v xml:space="preserve">   950510</v>
      </c>
      <c r="B2892" t="str">
        <f>T("   Articles pour fêtes de Noël (sauf bougies et guirlandes électriques)")</f>
        <v xml:space="preserve">   Articles pour fêtes de Noël (sauf bougies et guirlandes électriques)</v>
      </c>
      <c r="C2892">
        <v>8097576</v>
      </c>
      <c r="D2892">
        <v>23575</v>
      </c>
    </row>
    <row r="2893" spans="1:4" x14ac:dyDescent="0.25">
      <c r="A2893" t="str">
        <f>T("   950590")</f>
        <v xml:space="preserve">   950590</v>
      </c>
      <c r="B2893" t="str">
        <f>T("   Articles pour fêtes, carnaval ou autres divertissements, y.c. les articles de magie et articles-surprises, n.d.a.")</f>
        <v xml:space="preserve">   Articles pour fêtes, carnaval ou autres divertissements, y.c. les articles de magie et articles-surprises, n.d.a.</v>
      </c>
      <c r="C2893">
        <v>14126435</v>
      </c>
      <c r="D2893">
        <v>48887</v>
      </c>
    </row>
    <row r="2894" spans="1:4" x14ac:dyDescent="0.25">
      <c r="A2894" t="str">
        <f>T("   950619")</f>
        <v xml:space="preserve">   950619</v>
      </c>
      <c r="B2894" t="str">
        <f>T("   MATÉRIEL POUR LA PRATIQUE DU SKI DE NEIGE (À L'EXCL. DES SKIS ET DES FIXATIONS POUR SKIS) [01/01/1988-31/12/1994: MATERIEL POUR LA PRATIQUE DU SKI DE NEIGE, (SAUF SKIS ET FIXATIONS)]")</f>
        <v xml:space="preserve">   MATÉRIEL POUR LA PRATIQUE DU SKI DE NEIGE (À L'EXCL. DES SKIS ET DES FIXATIONS POUR SKIS) [01/01/1988-31/12/1994: MATERIEL POUR LA PRATIQUE DU SKI DE NEIGE, (SAUF SKIS ET FIXATIONS)]</v>
      </c>
      <c r="C2894">
        <v>180188</v>
      </c>
      <c r="D2894">
        <v>90</v>
      </c>
    </row>
    <row r="2895" spans="1:4" x14ac:dyDescent="0.25">
      <c r="A2895" t="str">
        <f>T("   950659")</f>
        <v xml:space="preserve">   950659</v>
      </c>
      <c r="B2895" t="str">
        <f>T("   RAQUETTES DE BADMINTON OU SIMIL., MÊME NON CORDÉES (À L'EXCL. DES RAQUETTES DE TENNIS ET DE TENNIS DE TABLE) [01/01/1988-31/12/1994: RAQUETTES DE BADMINTON OU SIMILAIRES, CORDEES OU NON ( SAUF RAQUETTES DE TENNIS ET DE TENNIS DE TABLE)]")</f>
        <v xml:space="preserve">   RAQUETTES DE BADMINTON OU SIMIL., MÊME NON CORDÉES (À L'EXCL. DES RAQUETTES DE TENNIS ET DE TENNIS DE TABLE) [01/01/1988-31/12/1994: RAQUETTES DE BADMINTON OU SIMILAIRES, CORDEES OU NON ( SAUF RAQUETTES DE TENNIS ET DE TENNIS DE TABLE)]</v>
      </c>
      <c r="C2895">
        <v>336504</v>
      </c>
      <c r="D2895">
        <v>300</v>
      </c>
    </row>
    <row r="2896" spans="1:4" x14ac:dyDescent="0.25">
      <c r="A2896" t="str">
        <f>T("   950662")</f>
        <v xml:space="preserve">   950662</v>
      </c>
      <c r="B2896" t="str">
        <f>T("   Ballons et balles gonflables")</f>
        <v xml:space="preserve">   Ballons et balles gonflables</v>
      </c>
      <c r="C2896">
        <v>4121239</v>
      </c>
      <c r="D2896">
        <v>8588</v>
      </c>
    </row>
    <row r="2897" spans="1:4" x14ac:dyDescent="0.25">
      <c r="A2897" t="str">
        <f>T("   950669")</f>
        <v xml:space="preserve">   950669</v>
      </c>
      <c r="B2897" t="str">
        <f>T("   Ballons et balles (autres que gonflables et autres que balles de golf ou de tennis de table)")</f>
        <v xml:space="preserve">   Ballons et balles (autres que gonflables et autres que balles de golf ou de tennis de table)</v>
      </c>
      <c r="C2897">
        <v>8078736</v>
      </c>
      <c r="D2897">
        <v>9371</v>
      </c>
    </row>
    <row r="2898" spans="1:4" x14ac:dyDescent="0.25">
      <c r="A2898" t="str">
        <f>T("   950691")</f>
        <v xml:space="preserve">   950691</v>
      </c>
      <c r="B2898" t="str">
        <f>T("   Articles et matériel pour la culture physique, la gymnastique ou l'athlétisme")</f>
        <v xml:space="preserve">   Articles et matériel pour la culture physique, la gymnastique ou l'athlétisme</v>
      </c>
      <c r="C2898">
        <v>30774860</v>
      </c>
      <c r="D2898">
        <v>32392.5</v>
      </c>
    </row>
    <row r="2899" spans="1:4" x14ac:dyDescent="0.25">
      <c r="A2899" t="str">
        <f>T("   950699")</f>
        <v xml:space="preserve">   950699</v>
      </c>
      <c r="B2899" t="str">
        <f>T("   Articles et matériel pour le sport et les jeux de plein air, n.d.a.; piscines et pataugeoires")</f>
        <v xml:space="preserve">   Articles et matériel pour le sport et les jeux de plein air, n.d.a.; piscines et pataugeoires</v>
      </c>
      <c r="C2899">
        <v>13114472</v>
      </c>
      <c r="D2899">
        <v>27660</v>
      </c>
    </row>
    <row r="2900" spans="1:4" x14ac:dyDescent="0.25">
      <c r="A2900" t="str">
        <f>T("   950720")</f>
        <v xml:space="preserve">   950720</v>
      </c>
      <c r="B2900" t="str">
        <f>T("   Hameçons, avec empile ou non")</f>
        <v xml:space="preserve">   Hameçons, avec empile ou non</v>
      </c>
      <c r="C2900">
        <v>305576</v>
      </c>
      <c r="D2900">
        <v>1030</v>
      </c>
    </row>
    <row r="2901" spans="1:4" x14ac:dyDescent="0.25">
      <c r="A2901" t="str">
        <f>T("   950890")</f>
        <v xml:space="preserve">   950890</v>
      </c>
      <c r="B2901" t="s">
        <v>517</v>
      </c>
      <c r="C2901">
        <v>13679</v>
      </c>
      <c r="D2901">
        <v>50</v>
      </c>
    </row>
    <row r="2902" spans="1:4" x14ac:dyDescent="0.25">
      <c r="A2902" t="str">
        <f>T("   960310")</f>
        <v xml:space="preserve">   960310</v>
      </c>
      <c r="B2902" t="str">
        <f>T("   Balais et balayettes consistant en matières végétales en bottes liées")</f>
        <v xml:space="preserve">   Balais et balayettes consistant en matières végétales en bottes liées</v>
      </c>
      <c r="C2902">
        <v>12873112</v>
      </c>
      <c r="D2902">
        <v>33314</v>
      </c>
    </row>
    <row r="2903" spans="1:4" x14ac:dyDescent="0.25">
      <c r="A2903" t="str">
        <f>T("   960321")</f>
        <v xml:space="preserve">   960321</v>
      </c>
      <c r="B2903" t="str">
        <f>T("   Brosses à dent, y.c. brosses à prothèses dentaires")</f>
        <v xml:space="preserve">   Brosses à dent, y.c. brosses à prothèses dentaires</v>
      </c>
      <c r="C2903">
        <v>2826374</v>
      </c>
      <c r="D2903">
        <v>14646</v>
      </c>
    </row>
    <row r="2904" spans="1:4" x14ac:dyDescent="0.25">
      <c r="A2904" t="str">
        <f>T("   960329")</f>
        <v xml:space="preserve">   960329</v>
      </c>
      <c r="B2904" t="str">
        <f>T("   Brosses et pinceaux à barbe, à cheveux, à cils ou à ongles et autres brosses pour la toilette des personnes, sauf brosses à dent")</f>
        <v xml:space="preserve">   Brosses et pinceaux à barbe, à cheveux, à cils ou à ongles et autres brosses pour la toilette des personnes, sauf brosses à dent</v>
      </c>
      <c r="C2904">
        <v>1930863</v>
      </c>
      <c r="D2904">
        <v>10206</v>
      </c>
    </row>
    <row r="2905" spans="1:4" x14ac:dyDescent="0.25">
      <c r="A2905" t="str">
        <f>T("   960330")</f>
        <v xml:space="preserve">   960330</v>
      </c>
      <c r="B2905" t="str">
        <f>T("   Pinceaux et brosses pour artistes, pinceaux à écrire et pinceaux simil. pour l'application des produits cosmétiques")</f>
        <v xml:space="preserve">   Pinceaux et brosses pour artistes, pinceaux à écrire et pinceaux simil. pour l'application des produits cosmétiques</v>
      </c>
      <c r="C2905">
        <v>13566</v>
      </c>
      <c r="D2905">
        <v>228</v>
      </c>
    </row>
    <row r="2906" spans="1:4" x14ac:dyDescent="0.25">
      <c r="A2906" t="str">
        <f>T("   960340")</f>
        <v xml:space="preserve">   960340</v>
      </c>
      <c r="B2906" t="str">
        <f>T("   Brosses et pinceaux à peindre, à badigeonner, à vernir ou simil., sauf pinceaux pour artistes et pinceaux simil. du n° 9603.30; tampons et rouleaux à peindre")</f>
        <v xml:space="preserve">   Brosses et pinceaux à peindre, à badigeonner, à vernir ou simil., sauf pinceaux pour artistes et pinceaux simil. du n° 9603.30; tampons et rouleaux à peindre</v>
      </c>
      <c r="C2906">
        <v>18357364</v>
      </c>
      <c r="D2906">
        <v>66169</v>
      </c>
    </row>
    <row r="2907" spans="1:4" x14ac:dyDescent="0.25">
      <c r="A2907" t="str">
        <f>T("   960390")</f>
        <v xml:space="preserve">   960390</v>
      </c>
      <c r="B2907" t="str">
        <f>T("   ARTICLES DE BROSSERIE (SAUF DU N° 9603.10 À 9603.50), P.EX. TÊTES PRÉPARÉES POUR ARTICLES DE BROSSERIE ET RACLETTES EN CAOUTCHOUC OU EN MATIÈRES SOUPLES ANALOGUES")</f>
        <v xml:space="preserve">   ARTICLES DE BROSSERIE (SAUF DU N° 9603.10 À 9603.50), P.EX. TÊTES PRÉPARÉES POUR ARTICLES DE BROSSERIE ET RACLETTES EN CAOUTCHOUC OU EN MATIÈRES SOUPLES ANALOGUES</v>
      </c>
      <c r="C2907">
        <v>1741479</v>
      </c>
      <c r="D2907">
        <v>5900</v>
      </c>
    </row>
    <row r="2908" spans="1:4" x14ac:dyDescent="0.25">
      <c r="A2908" t="str">
        <f>T("   960400")</f>
        <v xml:space="preserve">   960400</v>
      </c>
      <c r="B2908" t="str">
        <f>T("   Tamis et cribles, à main (sauf simples égouttoirs et passoires)")</f>
        <v xml:space="preserve">   Tamis et cribles, à main (sauf simples égouttoirs et passoires)</v>
      </c>
      <c r="C2908">
        <v>1382000</v>
      </c>
      <c r="D2908">
        <v>3850</v>
      </c>
    </row>
    <row r="2909" spans="1:4" x14ac:dyDescent="0.25">
      <c r="A2909" t="str">
        <f>T("   960500")</f>
        <v xml:space="preserve">   960500</v>
      </c>
      <c r="B2909" t="str">
        <f>T("   Assortiments de voyage pour la toilette des personnes, la couture ou le nettoyage des chaussures ou des vêtements (sauf trousses de manucure)")</f>
        <v xml:space="preserve">   Assortiments de voyage pour la toilette des personnes, la couture ou le nettoyage des chaussures ou des vêtements (sauf trousses de manucure)</v>
      </c>
      <c r="C2909">
        <v>4453424</v>
      </c>
      <c r="D2909">
        <v>18237</v>
      </c>
    </row>
    <row r="2910" spans="1:4" x14ac:dyDescent="0.25">
      <c r="A2910" t="str">
        <f>T("   960610")</f>
        <v xml:space="preserve">   960610</v>
      </c>
      <c r="B2910" t="str">
        <f>T("   Boutons-pression et leurs parties")</f>
        <v xml:space="preserve">   Boutons-pression et leurs parties</v>
      </c>
      <c r="C2910">
        <v>41500000</v>
      </c>
      <c r="D2910">
        <v>158110</v>
      </c>
    </row>
    <row r="2911" spans="1:4" x14ac:dyDescent="0.25">
      <c r="A2911" t="str">
        <f>T("   960629")</f>
        <v xml:space="preserve">   960629</v>
      </c>
      <c r="B2911" t="str">
        <f>T("   Boutons (sauf boutons en matières plastiques ou en métaux communs, non recouverts de matières textiles, boutons-pressions et boutons de manchette)")</f>
        <v xml:space="preserve">   Boutons (sauf boutons en matières plastiques ou en métaux communs, non recouverts de matières textiles, boutons-pressions et boutons de manchette)</v>
      </c>
      <c r="C2911">
        <v>39861693</v>
      </c>
      <c r="D2911">
        <v>210294</v>
      </c>
    </row>
    <row r="2912" spans="1:4" x14ac:dyDescent="0.25">
      <c r="A2912" t="str">
        <f>T("   960719")</f>
        <v xml:space="preserve">   960719</v>
      </c>
      <c r="B2912" t="str">
        <f>T("   Fermetures à glissière sans agrafes et autres qu'en métaux communs")</f>
        <v xml:space="preserve">   Fermetures à glissière sans agrafes et autres qu'en métaux communs</v>
      </c>
      <c r="C2912">
        <v>4768151</v>
      </c>
      <c r="D2912">
        <v>18679</v>
      </c>
    </row>
    <row r="2913" spans="1:4" x14ac:dyDescent="0.25">
      <c r="A2913" t="str">
        <f>T("   960810")</f>
        <v xml:space="preserve">   960810</v>
      </c>
      <c r="B2913" t="str">
        <f>T("   Stylos et crayons à bille")</f>
        <v xml:space="preserve">   Stylos et crayons à bille</v>
      </c>
      <c r="C2913">
        <v>8801219</v>
      </c>
      <c r="D2913">
        <v>14789</v>
      </c>
    </row>
    <row r="2914" spans="1:4" x14ac:dyDescent="0.25">
      <c r="A2914" t="str">
        <f>T("   960839")</f>
        <v xml:space="preserve">   960839</v>
      </c>
      <c r="B2914" t="str">
        <f>T("   Stylos à plume et autres stylos (autres qu'à dessiner à l'encre de Chine)")</f>
        <v xml:space="preserve">   Stylos à plume et autres stylos (autres qu'à dessiner à l'encre de Chine)</v>
      </c>
      <c r="C2914">
        <v>4739922</v>
      </c>
      <c r="D2914">
        <v>16728</v>
      </c>
    </row>
    <row r="2915" spans="1:4" x14ac:dyDescent="0.25">
      <c r="A2915" t="str">
        <f>T("   960840")</f>
        <v xml:space="preserve">   960840</v>
      </c>
      <c r="B2915" t="str">
        <f>T("   Porte-mine")</f>
        <v xml:space="preserve">   Porte-mine</v>
      </c>
      <c r="C2915">
        <v>6803415</v>
      </c>
      <c r="D2915">
        <v>7641</v>
      </c>
    </row>
    <row r="2916" spans="1:4" x14ac:dyDescent="0.25">
      <c r="A2916" t="str">
        <f>T("   960850")</f>
        <v xml:space="preserve">   960850</v>
      </c>
      <c r="B2916" t="str">
        <f>T("   Assortiments d'articles relevant d'au moins deux des produits suivants stylos et crayons à billes, stylos et marqueurs à pointe fibre ou à mèche feutre, porte-plume et porte-mine")</f>
        <v xml:space="preserve">   Assortiments d'articles relevant d'au moins deux des produits suivants stylos et crayons à billes, stylos et marqueurs à pointe fibre ou à mèche feutre, porte-plume et porte-mine</v>
      </c>
      <c r="C2916">
        <v>14099021</v>
      </c>
      <c r="D2916">
        <v>15879</v>
      </c>
    </row>
    <row r="2917" spans="1:4" x14ac:dyDescent="0.25">
      <c r="A2917" t="str">
        <f>T("   960920")</f>
        <v xml:space="preserve">   960920</v>
      </c>
      <c r="B2917" t="str">
        <f>T("   Mines pour crayons ou porte-mine")</f>
        <v xml:space="preserve">   Mines pour crayons ou porte-mine</v>
      </c>
      <c r="C2917">
        <v>500000</v>
      </c>
      <c r="D2917">
        <v>8640</v>
      </c>
    </row>
    <row r="2918" spans="1:4" x14ac:dyDescent="0.25">
      <c r="A2918" t="str">
        <f>T("   961000")</f>
        <v xml:space="preserve">   961000</v>
      </c>
      <c r="B2918" t="str">
        <f>T("   Ardoises et tableaux pour l'écriture ou le dessin, même encadrés")</f>
        <v xml:space="preserve">   Ardoises et tableaux pour l'écriture ou le dessin, même encadrés</v>
      </c>
      <c r="C2918">
        <v>2007517</v>
      </c>
      <c r="D2918">
        <v>6460</v>
      </c>
    </row>
    <row r="2919" spans="1:4" x14ac:dyDescent="0.25">
      <c r="A2919" t="str">
        <f>T("   961210")</f>
        <v xml:space="preserve">   961210</v>
      </c>
      <c r="B2919" t="str">
        <f>T("   Rubans encreurs pour machines à écrire et rubans encreurs simil., encrés ou autrement préparés en vue de laisser des empreintes, même montés sur bobines ou en cartouches")</f>
        <v xml:space="preserve">   Rubans encreurs pour machines à écrire et rubans encreurs simil., encrés ou autrement préparés en vue de laisser des empreintes, même montés sur bobines ou en cartouches</v>
      </c>
      <c r="C2919">
        <v>1000000</v>
      </c>
      <c r="D2919">
        <v>3980</v>
      </c>
    </row>
    <row r="2920" spans="1:4" x14ac:dyDescent="0.25">
      <c r="A2920" t="str">
        <f>T("   961220")</f>
        <v xml:space="preserve">   961220</v>
      </c>
      <c r="B2920" t="str">
        <f>T("   Tampons encreurs, même imprégnés, avec ou sans boîte")</f>
        <v xml:space="preserve">   Tampons encreurs, même imprégnés, avec ou sans boîte</v>
      </c>
      <c r="C2920">
        <v>6221484</v>
      </c>
      <c r="D2920">
        <v>5248</v>
      </c>
    </row>
    <row r="2921" spans="1:4" x14ac:dyDescent="0.25">
      <c r="A2921" t="str">
        <f>T("   961380")</f>
        <v xml:space="preserve">   961380</v>
      </c>
      <c r="B2921" t="str">
        <f>T("   Briquets et allumeurs (à l'excl. des briquets de poche à gaz, des mèches et cordeaux détonants pour poudres propulsives et explosifs)")</f>
        <v xml:space="preserve">   Briquets et allumeurs (à l'excl. des briquets de poche à gaz, des mèches et cordeaux détonants pour poudres propulsives et explosifs)</v>
      </c>
      <c r="C2921">
        <v>137746</v>
      </c>
      <c r="D2921">
        <v>920</v>
      </c>
    </row>
    <row r="2922" spans="1:4" x14ac:dyDescent="0.25">
      <c r="A2922" t="str">
        <f>T("   961511")</f>
        <v xml:space="preserve">   961511</v>
      </c>
      <c r="B2922" t="str">
        <f>T("   PEIGNÉS À COIFFER, PEIGNÉS DE COIFFURE, BARRETTES ET ARTICLES SIMIL., EN CAOUTCHOUC DURCI OU EN MATIÈRES PLASTIQUES")</f>
        <v xml:space="preserve">   PEIGNÉS À COIFFER, PEIGNÉS DE COIFFURE, BARRETTES ET ARTICLES SIMIL., EN CAOUTCHOUC DURCI OU EN MATIÈRES PLASTIQUES</v>
      </c>
      <c r="C2922">
        <v>1500000</v>
      </c>
      <c r="D2922">
        <v>5920</v>
      </c>
    </row>
    <row r="2923" spans="1:4" x14ac:dyDescent="0.25">
      <c r="A2923" t="str">
        <f>T("   961519")</f>
        <v xml:space="preserve">   961519</v>
      </c>
      <c r="B2923" t="str">
        <f>T("   PEIGNÉS À COIFFER, PEIGNÉS DE COIFFURE, BARRETTES ET ARTICLES SIMIL., EN MATIÈRES (AUTRES QUE CAOUTCHOUC OU MATIÈRES PLASTIQUES)")</f>
        <v xml:space="preserve">   PEIGNÉS À COIFFER, PEIGNÉS DE COIFFURE, BARRETTES ET ARTICLES SIMIL., EN MATIÈRES (AUTRES QUE CAOUTCHOUC OU MATIÈRES PLASTIQUES)</v>
      </c>
      <c r="C2923">
        <v>517320</v>
      </c>
      <c r="D2923">
        <v>750</v>
      </c>
    </row>
    <row r="2924" spans="1:4" x14ac:dyDescent="0.25">
      <c r="A2924" t="str">
        <f>T("   961590")</f>
        <v xml:space="preserve">   961590</v>
      </c>
      <c r="B2924" t="str">
        <f>T("   Epingles à cheveux; pince-guiches, ondulateurs, bigoudis et articles pour la coiffure (autres que ceux du n° 8516); parties")</f>
        <v xml:space="preserve">   Epingles à cheveux; pince-guiches, ondulateurs, bigoudis et articles pour la coiffure (autres que ceux du n° 8516); parties</v>
      </c>
      <c r="C2924">
        <v>1900000</v>
      </c>
      <c r="D2924">
        <v>8147</v>
      </c>
    </row>
    <row r="2925" spans="1:4" x14ac:dyDescent="0.25">
      <c r="A2925" t="str">
        <f>T("   961700")</f>
        <v xml:space="preserve">   961700</v>
      </c>
      <c r="B2925" t="str">
        <f>T("   Bouteilles isolantes et autres récipients isothermiques montés, dont l'isolation est assurée par le vide, ainsi que leurs parties (à l'excl. des ampoules en verre)")</f>
        <v xml:space="preserve">   Bouteilles isolantes et autres récipients isothermiques montés, dont l'isolation est assurée par le vide, ainsi que leurs parties (à l'excl. des ampoules en verre)</v>
      </c>
      <c r="C2925">
        <v>28315497</v>
      </c>
      <c r="D2925">
        <v>67792</v>
      </c>
    </row>
    <row r="2926" spans="1:4" x14ac:dyDescent="0.25">
      <c r="A2926" t="str">
        <f>T("   961800")</f>
        <v xml:space="preserve">   961800</v>
      </c>
      <c r="B2926" t="str">
        <f>T("   Mannequins et articles simil.; automates et scènes animées pour étalages (à l'excl. des modèles utilisés pour l'enseignement, des poupées présentant des caractères de jouet et des marchandises présentées sur ces mannequins)")</f>
        <v xml:space="preserve">   Mannequins et articles simil.; automates et scènes animées pour étalages (à l'excl. des modèles utilisés pour l'enseignement, des poupées présentant des caractères de jouet et des marchandises présentées sur ces mannequins)</v>
      </c>
      <c r="C2926">
        <v>2291461</v>
      </c>
      <c r="D2926">
        <v>15423</v>
      </c>
    </row>
    <row r="2927" spans="1:4" x14ac:dyDescent="0.25">
      <c r="A2927" t="str">
        <f>T("   970110")</f>
        <v xml:space="preserve">   970110</v>
      </c>
      <c r="B2927" t="str">
        <f>T("   Tableaux, p.ex. peintures à l'huile, aquarelles et pastels, et dessins, faits entièrement à la main (à l'excl. des dessins du n° 4906 et des articles manufacturés décorés à la main)")</f>
        <v xml:space="preserve">   Tableaux, p.ex. peintures à l'huile, aquarelles et pastels, et dessins, faits entièrement à la main (à l'excl. des dessins du n° 4906 et des articles manufacturés décorés à la main)</v>
      </c>
      <c r="C2927">
        <v>2443370</v>
      </c>
      <c r="D2927">
        <v>7671</v>
      </c>
    </row>
    <row r="2928" spans="1:4" x14ac:dyDescent="0.25">
      <c r="A2928" t="str">
        <f>T("   970190")</f>
        <v xml:space="preserve">   970190</v>
      </c>
      <c r="B2928" t="str">
        <f>T("   Collages et tableautins simil.")</f>
        <v xml:space="preserve">   Collages et tableautins simil.</v>
      </c>
      <c r="C2928">
        <v>16366569</v>
      </c>
      <c r="D2928">
        <v>62407</v>
      </c>
    </row>
    <row r="2929" spans="1:4" x14ac:dyDescent="0.25">
      <c r="A2929" t="str">
        <f>T("   970300")</f>
        <v xml:space="preserve">   970300</v>
      </c>
      <c r="B2929" t="str">
        <f>T("   Productions originales de l'art statuaire ou de la sculpture, en toutes matières")</f>
        <v xml:space="preserve">   Productions originales de l'art statuaire ou de la sculpture, en toutes matières</v>
      </c>
      <c r="C2929">
        <v>1455725</v>
      </c>
      <c r="D2929">
        <v>4755</v>
      </c>
    </row>
    <row r="2930" spans="1:4" x14ac:dyDescent="0.25">
      <c r="A2930" t="str">
        <f>T("CO")</f>
        <v>CO</v>
      </c>
      <c r="B2930" t="str">
        <f>T("Colombie")</f>
        <v>Colombie</v>
      </c>
    </row>
    <row r="2931" spans="1:4" x14ac:dyDescent="0.25">
      <c r="A2931" t="str">
        <f>T("   ZZ_Total_Produit_SH6")</f>
        <v xml:space="preserve">   ZZ_Total_Produit_SH6</v>
      </c>
      <c r="B2931" t="str">
        <f>T("   ZZ_Total_Produit_SH6")</f>
        <v xml:space="preserve">   ZZ_Total_Produit_SH6</v>
      </c>
      <c r="C2931">
        <v>8745210</v>
      </c>
      <c r="D2931">
        <v>26299</v>
      </c>
    </row>
    <row r="2932" spans="1:4" x14ac:dyDescent="0.25">
      <c r="A2932" t="str">
        <f>T("   310100")</f>
        <v xml:space="preserve">   310100</v>
      </c>
      <c r="B2932" t="s">
        <v>84</v>
      </c>
      <c r="C2932">
        <v>8376210</v>
      </c>
      <c r="D2932">
        <v>26130</v>
      </c>
    </row>
    <row r="2933" spans="1:4" x14ac:dyDescent="0.25">
      <c r="A2933" t="str">
        <f>T("   711790")</f>
        <v xml:space="preserve">   711790</v>
      </c>
      <c r="B2933" t="str">
        <f>T("   Bijouterie de fantaisie (autre qu'en métaux communs, même argentés, dorés ou platinés)")</f>
        <v xml:space="preserve">   Bijouterie de fantaisie (autre qu'en métaux communs, même argentés, dorés ou platinés)</v>
      </c>
      <c r="C2933">
        <v>369000</v>
      </c>
      <c r="D2933">
        <v>169</v>
      </c>
    </row>
    <row r="2934" spans="1:4" x14ac:dyDescent="0.25">
      <c r="A2934" t="str">
        <f>T("CY")</f>
        <v>CY</v>
      </c>
      <c r="B2934" t="str">
        <f>T("Chypre")</f>
        <v>Chypre</v>
      </c>
    </row>
    <row r="2935" spans="1:4" x14ac:dyDescent="0.25">
      <c r="A2935" t="str">
        <f>T("   ZZ_Total_Produit_SH6")</f>
        <v xml:space="preserve">   ZZ_Total_Produit_SH6</v>
      </c>
      <c r="B2935" t="str">
        <f>T("   ZZ_Total_Produit_SH6")</f>
        <v xml:space="preserve">   ZZ_Total_Produit_SH6</v>
      </c>
      <c r="C2935">
        <v>4068457</v>
      </c>
      <c r="D2935">
        <v>9675</v>
      </c>
    </row>
    <row r="2936" spans="1:4" x14ac:dyDescent="0.25">
      <c r="A2936" t="str">
        <f>T("   321000")</f>
        <v xml:space="preserve">   321000</v>
      </c>
      <c r="B2936" t="str">
        <f>T("   Peintures et vernis (à l'excl. des produits à base de polymères synthétiques ou de polymères naturels modifiés); pigments à l'eau préparés des types utilisés pour le finissage des cuirs")</f>
        <v xml:space="preserve">   Peintures et vernis (à l'excl. des produits à base de polymères synthétiques ou de polymères naturels modifiés); pigments à l'eau préparés des types utilisés pour le finissage des cuirs</v>
      </c>
      <c r="C2936">
        <v>454975</v>
      </c>
      <c r="D2936">
        <v>1500</v>
      </c>
    </row>
    <row r="2937" spans="1:4" x14ac:dyDescent="0.25">
      <c r="A2937" t="str">
        <f>T("   690890")</f>
        <v xml:space="preserve">   690890</v>
      </c>
      <c r="B2937" t="s">
        <v>311</v>
      </c>
      <c r="C2937">
        <v>1209046</v>
      </c>
      <c r="D2937">
        <v>4000</v>
      </c>
    </row>
    <row r="2938" spans="1:4" x14ac:dyDescent="0.25">
      <c r="A2938" t="str">
        <f>T("   732399")</f>
        <v xml:space="preserve">   732399</v>
      </c>
      <c r="B2938" t="s">
        <v>368</v>
      </c>
      <c r="C2938">
        <v>247790</v>
      </c>
      <c r="D2938">
        <v>1165</v>
      </c>
    </row>
    <row r="2939" spans="1:4" x14ac:dyDescent="0.25">
      <c r="A2939" t="str">
        <f>T("   841459")</f>
        <v xml:space="preserve">   841459</v>
      </c>
      <c r="B2939" t="str">
        <f>T("   Ventilateurs (sauf ventilateurs de table, de sol, muraux, plafonniers, de toitures ou de fenêtres, à moteur électrique incorporé, d'une puissance &lt;= 125 W)")</f>
        <v xml:space="preserve">   Ventilateurs (sauf ventilateurs de table, de sol, muraux, plafonniers, de toitures ou de fenêtres, à moteur électrique incorporé, d'une puissance &lt;= 125 W)</v>
      </c>
      <c r="C2939">
        <v>7878</v>
      </c>
      <c r="D2939">
        <v>50</v>
      </c>
    </row>
    <row r="2940" spans="1:4" x14ac:dyDescent="0.25">
      <c r="A2940" t="str">
        <f>T("   841821")</f>
        <v xml:space="preserve">   841821</v>
      </c>
      <c r="B2940" t="str">
        <f>T("   Réfrigérateurs ménagers à compression")</f>
        <v xml:space="preserve">   Réfrigérateurs ménagers à compression</v>
      </c>
      <c r="C2940">
        <v>150000</v>
      </c>
      <c r="D2940">
        <v>200</v>
      </c>
    </row>
    <row r="2941" spans="1:4" x14ac:dyDescent="0.25">
      <c r="A2941" t="str">
        <f>T("   845210")</f>
        <v xml:space="preserve">   845210</v>
      </c>
      <c r="B2941" t="str">
        <f>T("   Machines à coudre de type ménager")</f>
        <v xml:space="preserve">   Machines à coudre de type ménager</v>
      </c>
      <c r="C2941">
        <v>14188</v>
      </c>
      <c r="D2941">
        <v>90</v>
      </c>
    </row>
    <row r="2942" spans="1:4" x14ac:dyDescent="0.25">
      <c r="A2942" t="str">
        <f>T("   850140")</f>
        <v xml:space="preserve">   850140</v>
      </c>
      <c r="B2942" t="str">
        <f>T("   Moteurs à courant alternatif, monophasés")</f>
        <v xml:space="preserve">   Moteurs à courant alternatif, monophasés</v>
      </c>
      <c r="C2942">
        <v>23641</v>
      </c>
      <c r="D2942">
        <v>150</v>
      </c>
    </row>
    <row r="2943" spans="1:4" x14ac:dyDescent="0.25">
      <c r="A2943" t="str">
        <f>T("   853669")</f>
        <v xml:space="preserve">   853669</v>
      </c>
      <c r="B2943" t="str">
        <f>T("   Fiches et prises de courant, pour une tension &lt;= 1.000 V (sauf douilles pour lampes)")</f>
        <v xml:space="preserve">   Fiches et prises de courant, pour une tension &lt;= 1.000 V (sauf douilles pour lampes)</v>
      </c>
      <c r="C2943">
        <v>504526</v>
      </c>
      <c r="D2943">
        <v>1000</v>
      </c>
    </row>
    <row r="2944" spans="1:4" x14ac:dyDescent="0.25">
      <c r="A2944" t="str">
        <f>T("   870322")</f>
        <v xml:space="preserve">   870322</v>
      </c>
      <c r="B2944" t="s">
        <v>480</v>
      </c>
      <c r="C2944">
        <v>1200000</v>
      </c>
      <c r="D2944">
        <v>1270</v>
      </c>
    </row>
    <row r="2945" spans="1:4" x14ac:dyDescent="0.25">
      <c r="A2945" t="str">
        <f>T("   871120")</f>
        <v xml:space="preserve">   871120</v>
      </c>
      <c r="B2945" t="str">
        <f>T("   Motocycles à moteur à piston alternatif, cylindrée &gt; 50 cm³ mais &lt;= 250 cm³")</f>
        <v xml:space="preserve">   Motocycles à moteur à piston alternatif, cylindrée &gt; 50 cm³ mais &lt;= 250 cm³</v>
      </c>
      <c r="C2945">
        <v>125215</v>
      </c>
      <c r="D2945">
        <v>200</v>
      </c>
    </row>
    <row r="2946" spans="1:4" x14ac:dyDescent="0.25">
      <c r="A2946" t="str">
        <f>T("   900922")</f>
        <v xml:space="preserve">   900922</v>
      </c>
      <c r="B2946" t="str">
        <f>T("   APPAREILS DE PHOTOCOPIE PAR CONTACT")</f>
        <v xml:space="preserve">   APPAREILS DE PHOTOCOPIE PAR CONTACT</v>
      </c>
      <c r="C2946">
        <v>131198</v>
      </c>
      <c r="D2946">
        <v>50</v>
      </c>
    </row>
    <row r="2947" spans="1:4" x14ac:dyDescent="0.25">
      <c r="A2947" t="str">
        <f>T("CZ")</f>
        <v>CZ</v>
      </c>
      <c r="B2947" t="str">
        <f>T("Tchèque, République")</f>
        <v>Tchèque, République</v>
      </c>
    </row>
    <row r="2948" spans="1:4" x14ac:dyDescent="0.25">
      <c r="A2948" t="str">
        <f>T("   ZZ_Total_Produit_SH6")</f>
        <v xml:space="preserve">   ZZ_Total_Produit_SH6</v>
      </c>
      <c r="B2948" t="str">
        <f>T("   ZZ_Total_Produit_SH6")</f>
        <v xml:space="preserve">   ZZ_Total_Produit_SH6</v>
      </c>
      <c r="C2948">
        <v>2284681073</v>
      </c>
      <c r="D2948">
        <v>3989214</v>
      </c>
    </row>
    <row r="2949" spans="1:4" x14ac:dyDescent="0.25">
      <c r="A2949" t="str">
        <f>T("   020712")</f>
        <v xml:space="preserve">   020712</v>
      </c>
      <c r="B2949" t="str">
        <f>T("   COQS ET POULES [DES ESPÈCES DOMESTIQUES], NON-DÉCOUPÉS EN MORCEAUX, CONGELÉS")</f>
        <v xml:space="preserve">   COQS ET POULES [DES ESPÈCES DOMESTIQUES], NON-DÉCOUPÉS EN MORCEAUX, CONGELÉS</v>
      </c>
      <c r="C2949">
        <v>695900080</v>
      </c>
      <c r="D2949">
        <v>1161790</v>
      </c>
    </row>
    <row r="2950" spans="1:4" x14ac:dyDescent="0.25">
      <c r="A2950" t="str">
        <f>T("   020714")</f>
        <v xml:space="preserve">   020714</v>
      </c>
      <c r="B2950" t="str">
        <f>T("   Morceaux et abats comestibles de coqs et de poules [des espèces domestiques], congelés")</f>
        <v xml:space="preserve">   Morceaux et abats comestibles de coqs et de poules [des espèces domestiques], congelés</v>
      </c>
      <c r="C2950">
        <v>490416679</v>
      </c>
      <c r="D2950">
        <v>817310</v>
      </c>
    </row>
    <row r="2951" spans="1:4" x14ac:dyDescent="0.25">
      <c r="A2951" t="str">
        <f>T("   020727")</f>
        <v xml:space="preserve">   020727</v>
      </c>
      <c r="B2951" t="str">
        <f>T("   Morceaux et abats comestibles de dindes et dindons [des espèces domestiques], congelés")</f>
        <v xml:space="preserve">   Morceaux et abats comestibles de dindes et dindons [des espèces domestiques], congelés</v>
      </c>
      <c r="C2951">
        <v>701856195</v>
      </c>
      <c r="D2951">
        <v>1174110</v>
      </c>
    </row>
    <row r="2952" spans="1:4" x14ac:dyDescent="0.25">
      <c r="A2952" t="str">
        <f>T("   030379")</f>
        <v xml:space="preserve">   030379</v>
      </c>
      <c r="B2952" t="s">
        <v>17</v>
      </c>
      <c r="C2952">
        <v>135260920</v>
      </c>
      <c r="D2952">
        <v>772296</v>
      </c>
    </row>
    <row r="2953" spans="1:4" x14ac:dyDescent="0.25">
      <c r="A2953" t="str">
        <f>T("   160100")</f>
        <v xml:space="preserve">   160100</v>
      </c>
      <c r="B2953" t="str">
        <f>T("   Saucisses, saucissons et produits simil., de viande, d'abats ou de sang; préparations alimentaires à base de ces produits")</f>
        <v xml:space="preserve">   Saucisses, saucissons et produits simil., de viande, d'abats ou de sang; préparations alimentaires à base de ces produits</v>
      </c>
      <c r="C2953">
        <v>2227640</v>
      </c>
      <c r="D2953">
        <v>3713</v>
      </c>
    </row>
    <row r="2954" spans="1:4" x14ac:dyDescent="0.25">
      <c r="A2954" t="str">
        <f>T("   360490")</f>
        <v xml:space="preserve">   360490</v>
      </c>
      <c r="B2954" t="str">
        <f>T("   Fusées de signalisation ou paragrêles et simil., pétards et autres articles de pyrotechnie (à l'excl. des articles pour feux d'artifice et des cartouches à blanc)")</f>
        <v xml:space="preserve">   Fusées de signalisation ou paragrêles et simil., pétards et autres articles de pyrotechnie (à l'excl. des articles pour feux d'artifice et des cartouches à blanc)</v>
      </c>
      <c r="C2954">
        <v>459029</v>
      </c>
      <c r="D2954">
        <v>130</v>
      </c>
    </row>
    <row r="2955" spans="1:4" x14ac:dyDescent="0.25">
      <c r="A2955" t="str">
        <f>T("   520819")</f>
        <v xml:space="preserve">   520819</v>
      </c>
      <c r="B2955" t="str">
        <f>T("   Tissus de coton, écrus, contenant &gt;= 85% en poids de coton, d'un poids &lt;= 200 g/m² (à l'excl. des tissus à armure toile ou à armure sergé [y.c. le croisé] d'un rapport d'armure &lt;= 4)")</f>
        <v xml:space="preserve">   Tissus de coton, écrus, contenant &gt;= 85% en poids de coton, d'un poids &lt;= 200 g/m² (à l'excl. des tissus à armure toile ou à armure sergé [y.c. le croisé] d'un rapport d'armure &lt;= 4)</v>
      </c>
      <c r="C2955">
        <v>7744920</v>
      </c>
      <c r="D2955">
        <v>4995</v>
      </c>
    </row>
    <row r="2956" spans="1:4" x14ac:dyDescent="0.25">
      <c r="A2956" t="str">
        <f>T("   520839")</f>
        <v xml:space="preserve">   520839</v>
      </c>
      <c r="B2956" t="str">
        <f>T("   Tissus de coton, teints, contenant &gt;= 85% en poids de coton, d'un poids &lt;= 200 g/m² (à l'excl. des tissus à armure toile ou à armure sergé [y.c. le croisé] d'un rapport d'armure &lt;= 4)")</f>
        <v xml:space="preserve">   Tissus de coton, teints, contenant &gt;= 85% en poids de coton, d'un poids &lt;= 200 g/m² (à l'excl. des tissus à armure toile ou à armure sergé [y.c. le croisé] d'un rapport d'armure &lt;= 4)</v>
      </c>
      <c r="C2956">
        <v>12000000</v>
      </c>
      <c r="D2956">
        <v>4284</v>
      </c>
    </row>
    <row r="2957" spans="1:4" x14ac:dyDescent="0.25">
      <c r="A2957" t="str">
        <f>T("   520849")</f>
        <v xml:space="preserve">   520849</v>
      </c>
      <c r="B2957" t="str">
        <f>T("   Tissus de coton, en fils de diverses couleurs, contenant &gt;= 85% en poids de coton, d'un poids &lt;= 200 g/m² (à l'excl. des tissus à armure toile ou à armure sergé [y.c. le croisé] d'un rapport d'armure &lt;= 4)")</f>
        <v xml:space="preserve">   Tissus de coton, en fils de diverses couleurs, contenant &gt;= 85% en poids de coton, d'un poids &lt;= 200 g/m² (à l'excl. des tissus à armure toile ou à armure sergé [y.c. le croisé] d'un rapport d'armure &lt;= 4)</v>
      </c>
      <c r="C2957">
        <v>4705857</v>
      </c>
      <c r="D2957">
        <v>500</v>
      </c>
    </row>
    <row r="2958" spans="1:4" x14ac:dyDescent="0.25">
      <c r="A2958" t="str">
        <f>T("   520859")</f>
        <v xml:space="preserve">   520859</v>
      </c>
      <c r="B2958" t="str">
        <f>T("   TISSUS DE COTON, IMPRIMÉS, CONTENANT &gt;= 85% EN POIDS DE COTON, D'UN POIDS &lt;= 200 G/M² (À L'EXCL. DES TISSUS À ARMURE TOILE)")</f>
        <v xml:space="preserve">   TISSUS DE COTON, IMPRIMÉS, CONTENANT &gt;= 85% EN POIDS DE COTON, D'UN POIDS &lt;= 200 G/M² (À L'EXCL. DES TISSUS À ARMURE TOILE)</v>
      </c>
      <c r="C2958">
        <v>34942333</v>
      </c>
      <c r="D2958">
        <v>10150</v>
      </c>
    </row>
    <row r="2959" spans="1:4" x14ac:dyDescent="0.25">
      <c r="A2959" t="str">
        <f>T("   551519")</f>
        <v xml:space="preserve">   551519</v>
      </c>
      <c r="B2959" t="s">
        <v>239</v>
      </c>
      <c r="C2959">
        <v>7749511</v>
      </c>
      <c r="D2959">
        <v>6886</v>
      </c>
    </row>
    <row r="2960" spans="1:4" x14ac:dyDescent="0.25">
      <c r="A2960" t="str">
        <f>T("   630900")</f>
        <v xml:space="preserve">   630900</v>
      </c>
      <c r="B2960" t="s">
        <v>278</v>
      </c>
      <c r="C2960">
        <v>9900404</v>
      </c>
      <c r="D2960">
        <v>22000</v>
      </c>
    </row>
    <row r="2961" spans="1:4" x14ac:dyDescent="0.25">
      <c r="A2961" t="str">
        <f>T("   732399")</f>
        <v xml:space="preserve">   732399</v>
      </c>
      <c r="B2961" t="s">
        <v>368</v>
      </c>
      <c r="C2961">
        <v>220000</v>
      </c>
      <c r="D2961">
        <v>1500</v>
      </c>
    </row>
    <row r="2962" spans="1:4" x14ac:dyDescent="0.25">
      <c r="A2962" t="str">
        <f>T("   732690")</f>
        <v xml:space="preserve">   732690</v>
      </c>
      <c r="B2962"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2962">
        <v>1911468</v>
      </c>
      <c r="D2962">
        <v>170</v>
      </c>
    </row>
    <row r="2963" spans="1:4" x14ac:dyDescent="0.25">
      <c r="A2963" t="str">
        <f>T("   820730")</f>
        <v xml:space="preserve">   820730</v>
      </c>
      <c r="B2963" t="str">
        <f>T("   Outils interchangeables à emboutir, à estamper ou à poinçonner")</f>
        <v xml:space="preserve">   Outils interchangeables à emboutir, à estamper ou à poinçonner</v>
      </c>
      <c r="C2963">
        <v>692694</v>
      </c>
      <c r="D2963">
        <v>100</v>
      </c>
    </row>
    <row r="2964" spans="1:4" x14ac:dyDescent="0.25">
      <c r="A2964" t="str">
        <f>T("   820810")</f>
        <v xml:space="preserve">   820810</v>
      </c>
      <c r="B2964" t="str">
        <f>T("   Couteaux et lames tranchantes, en métaux communs, pour machines ou pour appareils mécaniques, pour le travail des métaux")</f>
        <v xml:space="preserve">   Couteaux et lames tranchantes, en métaux communs, pour machines ou pour appareils mécaniques, pour le travail des métaux</v>
      </c>
      <c r="C2964">
        <v>3867540</v>
      </c>
      <c r="D2964">
        <v>380</v>
      </c>
    </row>
    <row r="2965" spans="1:4" x14ac:dyDescent="0.25">
      <c r="A2965" t="str">
        <f>T("   846210")</f>
        <v xml:space="preserve">   846210</v>
      </c>
      <c r="B2965" t="str">
        <f>T("   Machines, y.c. -les presses-, à forger ou à estamper, moutons, marteaux-pilons et martinets, pour le travail des métaux")</f>
        <v xml:space="preserve">   Machines, y.c. -les presses-, à forger ou à estamper, moutons, marteaux-pilons et martinets, pour le travail des métaux</v>
      </c>
      <c r="C2965">
        <v>166592193</v>
      </c>
      <c r="D2965">
        <v>5800</v>
      </c>
    </row>
    <row r="2966" spans="1:4" x14ac:dyDescent="0.25">
      <c r="A2966" t="str">
        <f>T("   846620")</f>
        <v xml:space="preserve">   846620</v>
      </c>
      <c r="B2966" t="str">
        <f>T("   Porte-pièces pour machines-outils")</f>
        <v xml:space="preserve">   Porte-pièces pour machines-outils</v>
      </c>
      <c r="C2966">
        <v>3844581</v>
      </c>
      <c r="D2966">
        <v>350</v>
      </c>
    </row>
    <row r="2967" spans="1:4" x14ac:dyDescent="0.25">
      <c r="A2967" t="str">
        <f>T("   870120")</f>
        <v xml:space="preserve">   870120</v>
      </c>
      <c r="B2967" t="str">
        <f>T("   Tracteurs routiers pour semi-remorques")</f>
        <v xml:space="preserve">   Tracteurs routiers pour semi-remorques</v>
      </c>
      <c r="C2967">
        <v>1989029</v>
      </c>
      <c r="D2967">
        <v>900</v>
      </c>
    </row>
    <row r="2968" spans="1:4" x14ac:dyDescent="0.25">
      <c r="A2968" t="str">
        <f>T("   870322")</f>
        <v xml:space="preserve">   870322</v>
      </c>
      <c r="B2968" t="s">
        <v>480</v>
      </c>
      <c r="C2968">
        <v>2400000</v>
      </c>
      <c r="D2968">
        <v>1850</v>
      </c>
    </row>
    <row r="2969" spans="1:4" x14ac:dyDescent="0.25">
      <c r="A2969" t="str">
        <f>T("DE")</f>
        <v>DE</v>
      </c>
      <c r="B2969" t="str">
        <f>T("Allemagne")</f>
        <v>Allemagne</v>
      </c>
    </row>
    <row r="2970" spans="1:4" x14ac:dyDescent="0.25">
      <c r="A2970" t="str">
        <f>T("   ZZ_Total_Produit_SH6")</f>
        <v xml:space="preserve">   ZZ_Total_Produit_SH6</v>
      </c>
      <c r="B2970" t="str">
        <f>T("   ZZ_Total_Produit_SH6")</f>
        <v xml:space="preserve">   ZZ_Total_Produit_SH6</v>
      </c>
      <c r="C2970">
        <v>28672205110.970001</v>
      </c>
      <c r="D2970">
        <v>69568200.310000002</v>
      </c>
    </row>
    <row r="2971" spans="1:4" x14ac:dyDescent="0.25">
      <c r="A2971" t="str">
        <f>T("   020712")</f>
        <v xml:space="preserve">   020712</v>
      </c>
      <c r="B2971" t="str">
        <f>T("   COQS ET POULES [DES ESPÈCES DOMESTIQUES], NON-DÉCOUPÉS EN MORCEAUX, CONGELÉS")</f>
        <v xml:space="preserve">   COQS ET POULES [DES ESPÈCES DOMESTIQUES], NON-DÉCOUPÉS EN MORCEAUX, CONGELÉS</v>
      </c>
      <c r="C2971">
        <v>15000493</v>
      </c>
      <c r="D2971">
        <v>25000</v>
      </c>
    </row>
    <row r="2972" spans="1:4" x14ac:dyDescent="0.25">
      <c r="A2972" t="str">
        <f>T("   020714")</f>
        <v xml:space="preserve">   020714</v>
      </c>
      <c r="B2972" t="str">
        <f>T("   Morceaux et abats comestibles de coqs et de poules [des espèces domestiques], congelés")</f>
        <v xml:space="preserve">   Morceaux et abats comestibles de coqs et de poules [des espèces domestiques], congelés</v>
      </c>
      <c r="C2972">
        <v>411693392</v>
      </c>
      <c r="D2972">
        <v>702000</v>
      </c>
    </row>
    <row r="2973" spans="1:4" x14ac:dyDescent="0.25">
      <c r="A2973" t="str">
        <f>T("   020726")</f>
        <v xml:space="preserve">   020726</v>
      </c>
      <c r="B2973" t="str">
        <f>T("   Morceaux et abats comestibles de dindes et dindons [des espèces domestiques], frais ou réfrigérés")</f>
        <v xml:space="preserve">   Morceaux et abats comestibles de dindes et dindons [des espèces domestiques], frais ou réfrigérés</v>
      </c>
      <c r="C2973">
        <v>15000493</v>
      </c>
      <c r="D2973">
        <v>24000</v>
      </c>
    </row>
    <row r="2974" spans="1:4" x14ac:dyDescent="0.25">
      <c r="A2974" t="str">
        <f>T("   020727")</f>
        <v xml:space="preserve">   020727</v>
      </c>
      <c r="B2974" t="str">
        <f>T("   Morceaux et abats comestibles de dindes et dindons [des espèces domestiques], congelés")</f>
        <v xml:space="preserve">   Morceaux et abats comestibles de dindes et dindons [des espèces domestiques], congelés</v>
      </c>
      <c r="C2974">
        <v>455812274</v>
      </c>
      <c r="D2974">
        <v>768850</v>
      </c>
    </row>
    <row r="2975" spans="1:4" x14ac:dyDescent="0.25">
      <c r="A2975" t="str">
        <f>T("   040120")</f>
        <v xml:space="preserve">   040120</v>
      </c>
      <c r="B2975" t="str">
        <f>T("   LAIT ET CRÈME DE LAIT, NON-CONCENTRÉS NI ADDITIONNÉS DE SUCRE OU D'AUTRES ÉDULCORANTS, D'UNE TENEUR EN POIDS DE MATIÈRES GRASSES &gt; 1% MAIS &lt;= 6%")</f>
        <v xml:space="preserve">   LAIT ET CRÈME DE LAIT, NON-CONCENTRÉS NI ADDITIONNÉS DE SUCRE OU D'AUTRES ÉDULCORANTS, D'UNE TENEUR EN POIDS DE MATIÈRES GRASSES &gt; 1% MAIS &lt;= 6%</v>
      </c>
      <c r="C2975">
        <v>22005719</v>
      </c>
      <c r="D2975">
        <v>76622</v>
      </c>
    </row>
    <row r="2976" spans="1:4" x14ac:dyDescent="0.25">
      <c r="A2976" t="str">
        <f>T("   040221")</f>
        <v xml:space="preserve">   040221</v>
      </c>
      <c r="B2976" t="str">
        <f>T("   Lait et crème de lait, en poudre, en granulés ou sous d'autres formes solides, d'une teneur en poids de matières grasses &gt; 1,5%, sans addition de sucre ou d'autres édulcorants")</f>
        <v xml:space="preserve">   Lait et crème de lait, en poudre, en granulés ou sous d'autres formes solides, d'une teneur en poids de matières grasses &gt; 1,5%, sans addition de sucre ou d'autres édulcorants</v>
      </c>
      <c r="C2976">
        <v>22001313</v>
      </c>
      <c r="D2976">
        <v>11702</v>
      </c>
    </row>
    <row r="2977" spans="1:4" x14ac:dyDescent="0.25">
      <c r="A2977" t="str">
        <f>T("   040299")</f>
        <v xml:space="preserve">   040299</v>
      </c>
      <c r="B2977" t="str">
        <f>T("   Lait et crème de lait, concentrés, additionnés de sucre ou d'autres édulcorants (à l'excl. des laits et crèmes de lait en poudre, en granulés ou sous d'autres formes solides)")</f>
        <v xml:space="preserve">   Lait et crème de lait, concentrés, additionnés de sucre ou d'autres édulcorants (à l'excl. des laits et crèmes de lait en poudre, en granulés ou sous d'autres formes solides)</v>
      </c>
      <c r="C2977">
        <v>18553173</v>
      </c>
      <c r="D2977">
        <v>8454</v>
      </c>
    </row>
    <row r="2978" spans="1:4" x14ac:dyDescent="0.25">
      <c r="A2978" t="str">
        <f>T("   130213")</f>
        <v xml:space="preserve">   130213</v>
      </c>
      <c r="B2978" t="str">
        <f>T("   Extraits de houblon")</f>
        <v xml:space="preserve">   Extraits de houblon</v>
      </c>
      <c r="C2978">
        <v>188101778</v>
      </c>
      <c r="D2978">
        <v>4620</v>
      </c>
    </row>
    <row r="2979" spans="1:4" x14ac:dyDescent="0.25">
      <c r="A2979" t="str">
        <f>T("   151190")</f>
        <v xml:space="preserve">   151190</v>
      </c>
      <c r="B2979" t="str">
        <f>T("   Huile de palme et ses fractions, même raffinées, mais non chimiquement modifiées (à l'excl. de l'huile de palme brute)")</f>
        <v xml:space="preserve">   Huile de palme et ses fractions, même raffinées, mais non chimiquement modifiées (à l'excl. de l'huile de palme brute)</v>
      </c>
      <c r="C2979">
        <v>281157095.97000003</v>
      </c>
      <c r="D2979">
        <v>944195</v>
      </c>
    </row>
    <row r="2980" spans="1:4" x14ac:dyDescent="0.25">
      <c r="A2980" t="str">
        <f>T("   170250")</f>
        <v xml:space="preserve">   170250</v>
      </c>
      <c r="B2980" t="str">
        <f>T("   Fructose chimiquement pur")</f>
        <v xml:space="preserve">   Fructose chimiquement pur</v>
      </c>
      <c r="C2980">
        <v>79370</v>
      </c>
      <c r="D2980">
        <v>1</v>
      </c>
    </row>
    <row r="2981" spans="1:4" x14ac:dyDescent="0.25">
      <c r="A2981" t="str">
        <f>T("   170290")</f>
        <v xml:space="preserve">   170290</v>
      </c>
      <c r="B2981" t="s">
        <v>45</v>
      </c>
      <c r="C2981">
        <v>2879666</v>
      </c>
      <c r="D2981">
        <v>2000</v>
      </c>
    </row>
    <row r="2982" spans="1:4" x14ac:dyDescent="0.25">
      <c r="A2982" t="str">
        <f>T("   170410")</f>
        <v xml:space="preserve">   170410</v>
      </c>
      <c r="B2982" t="str">
        <f>T("   Gommes à mâcher [chewing-gum], même enrobées de sucre")</f>
        <v xml:space="preserve">   Gommes à mâcher [chewing-gum], même enrobées de sucre</v>
      </c>
      <c r="C2982">
        <v>11151</v>
      </c>
      <c r="D2982">
        <v>20</v>
      </c>
    </row>
    <row r="2983" spans="1:4" x14ac:dyDescent="0.25">
      <c r="A2983" t="str">
        <f>T("   190190")</f>
        <v xml:space="preserve">   190190</v>
      </c>
      <c r="B2983" t="s">
        <v>49</v>
      </c>
      <c r="C2983">
        <v>42205778</v>
      </c>
      <c r="D2983">
        <v>107200</v>
      </c>
    </row>
    <row r="2984" spans="1:4" x14ac:dyDescent="0.25">
      <c r="A2984" t="str">
        <f>T("   190590")</f>
        <v xml:space="preserve">   190590</v>
      </c>
      <c r="B2984" t="s">
        <v>51</v>
      </c>
      <c r="C2984">
        <v>219149</v>
      </c>
      <c r="D2984">
        <v>615</v>
      </c>
    </row>
    <row r="2985" spans="1:4" x14ac:dyDescent="0.25">
      <c r="A2985" t="str">
        <f>T("   200290")</f>
        <v xml:space="preserve">   200290</v>
      </c>
      <c r="B2985"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2985">
        <v>19023</v>
      </c>
      <c r="D2985">
        <v>107</v>
      </c>
    </row>
    <row r="2986" spans="1:4" x14ac:dyDescent="0.25">
      <c r="A2986" t="str">
        <f>T("   200799")</f>
        <v xml:space="preserve">   200799</v>
      </c>
      <c r="B2986" t="s">
        <v>54</v>
      </c>
      <c r="C2986">
        <v>1639900</v>
      </c>
      <c r="D2986">
        <v>3500</v>
      </c>
    </row>
    <row r="2987" spans="1:4" x14ac:dyDescent="0.25">
      <c r="A2987" t="str">
        <f>T("   200919")</f>
        <v xml:space="preserve">   200919</v>
      </c>
      <c r="B2987" t="str">
        <f>T("   JUS D'ORANGE, NON-FERMENTÉS, SANS ADDITION D'ALCOOL, AVEC OU SANS ADDITION DE SUCRE OU D'AUTRES ÉDULCORANTS (À L'EXCL. DES JUS CONGELÉS ET DES JUS D'UNE VALEUR BRIX &lt;= 20 À 20°C)")</f>
        <v xml:space="preserve">   JUS D'ORANGE, NON-FERMENTÉS, SANS ADDITION D'ALCOOL, AVEC OU SANS ADDITION DE SUCRE OU D'AUTRES ÉDULCORANTS (À L'EXCL. DES JUS CONGELÉS ET DES JUS D'UNE VALEUR BRIX &lt;= 20 À 20°C)</v>
      </c>
      <c r="C2987">
        <v>1124315</v>
      </c>
      <c r="D2987">
        <v>3199</v>
      </c>
    </row>
    <row r="2988" spans="1:4" x14ac:dyDescent="0.25">
      <c r="A2988" t="str">
        <f>T("   200969")</f>
        <v xml:space="preserve">   200969</v>
      </c>
      <c r="B2988" t="str">
        <f>T("   JUS DE RAISIN - Y.C. LES MOÛTS DE RAISIN -, NON-FERMENTÉS, SANS ADDITION D'ALCOOL, AVEC OU SANS ADDITION DE SUCRE OU D'AUTRES ÉDULCORANTS, D'UNE VALEUR BRIX &gt; 30 À 20°C")</f>
        <v xml:space="preserve">   JUS DE RAISIN - Y.C. LES MOÛTS DE RAISIN -, NON-FERMENTÉS, SANS ADDITION D'ALCOOL, AVEC OU SANS ADDITION DE SUCRE OU D'AUTRES ÉDULCORANTS, D'UNE VALEUR BRIX &gt; 30 À 20°C</v>
      </c>
      <c r="C2988">
        <v>795680</v>
      </c>
      <c r="D2988">
        <v>2264</v>
      </c>
    </row>
    <row r="2989" spans="1:4" x14ac:dyDescent="0.25">
      <c r="A2989" t="str">
        <f>T("   200979")</f>
        <v xml:space="preserve">   200979</v>
      </c>
      <c r="B2989" t="str">
        <f>T("   JUS DE POMME, NON-FERMENTÉS, SANS ADDITION D'ALCOOL, AVEC OU SANS ADDITION DE SUCRE OU D'AUTRES ÉDULCORANTS, D'UNE VALEUR BRIX &gt; 20 À 20°C")</f>
        <v xml:space="preserve">   JUS DE POMME, NON-FERMENTÉS, SANS ADDITION D'ALCOOL, AVEC OU SANS ADDITION DE SUCRE OU D'AUTRES ÉDULCORANTS, D'UNE VALEUR BRIX &gt; 20 À 20°C</v>
      </c>
      <c r="C2989">
        <v>1499525</v>
      </c>
      <c r="D2989">
        <v>4267</v>
      </c>
    </row>
    <row r="2990" spans="1:4" x14ac:dyDescent="0.25">
      <c r="A2990" t="str">
        <f>T("   200990")</f>
        <v xml:space="preserve">   200990</v>
      </c>
      <c r="B2990"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2990">
        <v>627000</v>
      </c>
      <c r="D2990">
        <v>3000</v>
      </c>
    </row>
    <row r="2991" spans="1:4" x14ac:dyDescent="0.25">
      <c r="A2991" t="str">
        <f>T("   210210")</f>
        <v xml:space="preserve">   210210</v>
      </c>
      <c r="B2991" t="str">
        <f>T("   Levures vivantes")</f>
        <v xml:space="preserve">   Levures vivantes</v>
      </c>
      <c r="C2991">
        <v>890137</v>
      </c>
      <c r="D2991">
        <v>2</v>
      </c>
    </row>
    <row r="2992" spans="1:4" x14ac:dyDescent="0.25">
      <c r="A2992" t="str">
        <f>T("   210690")</f>
        <v xml:space="preserve">   210690</v>
      </c>
      <c r="B2992" t="str">
        <f>T("   Préparations alimentaires, n.d.a.")</f>
        <v xml:space="preserve">   Préparations alimentaires, n.d.a.</v>
      </c>
      <c r="C2992">
        <v>6357859</v>
      </c>
      <c r="D2992">
        <v>1072</v>
      </c>
    </row>
    <row r="2993" spans="1:4" x14ac:dyDescent="0.25">
      <c r="A2993" t="str">
        <f>T("   220210")</f>
        <v xml:space="preserve">   220210</v>
      </c>
      <c r="B2993"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2993">
        <v>23236725</v>
      </c>
      <c r="D2993">
        <v>113154</v>
      </c>
    </row>
    <row r="2994" spans="1:4" x14ac:dyDescent="0.25">
      <c r="A2994" t="str">
        <f>T("   220290")</f>
        <v xml:space="preserve">   220290</v>
      </c>
      <c r="B2994" t="str">
        <f>T("   BOISSONS NON-ALCOOLIQUES (À L'EXCL. DES EAUX, DES JUS DE FRUITS OU DE LÉGUMES AINSI QUE DU LAIT)")</f>
        <v xml:space="preserve">   BOISSONS NON-ALCOOLIQUES (À L'EXCL. DES EAUX, DES JUS DE FRUITS OU DE LÉGUMES AINSI QUE DU LAIT)</v>
      </c>
      <c r="C2994">
        <v>64835738</v>
      </c>
      <c r="D2994">
        <v>226921</v>
      </c>
    </row>
    <row r="2995" spans="1:4" x14ac:dyDescent="0.25">
      <c r="A2995" t="str">
        <f>T("   220300")</f>
        <v xml:space="preserve">   220300</v>
      </c>
      <c r="B2995" t="str">
        <f>T("   Bières de malt")</f>
        <v xml:space="preserve">   Bières de malt</v>
      </c>
      <c r="C2995">
        <v>113522923</v>
      </c>
      <c r="D2995">
        <v>392356</v>
      </c>
    </row>
    <row r="2996" spans="1:4" x14ac:dyDescent="0.25">
      <c r="A2996" t="str">
        <f>T("   220421")</f>
        <v xml:space="preserve">   220421</v>
      </c>
      <c r="B2996" t="str">
        <f>T("   Vins de raisins frais, y.c. les vins enrichis en alcool (à l'excl. des vins mousseux); moûts de raisins dont la fermentation a été empêchée ou arrêtée par addition d'alcool, en récipients d'une contenance &lt;= 2 l")</f>
        <v xml:space="preserve">   Vins de raisins frais, y.c. les vins enrichis en alcool (à l'excl. des vins mousseux); moûts de raisins dont la fermentation a été empêchée ou arrêtée par addition d'alcool, en récipients d'une contenance &lt;= 2 l</v>
      </c>
      <c r="C2996">
        <v>840000</v>
      </c>
      <c r="D2996">
        <v>4000</v>
      </c>
    </row>
    <row r="2997" spans="1:4" x14ac:dyDescent="0.25">
      <c r="A2997" t="str">
        <f>T("   220720")</f>
        <v xml:space="preserve">   220720</v>
      </c>
      <c r="B2997" t="str">
        <f>T("   Alcool éthylique et eaux-de-vie dénaturés de tous titres")</f>
        <v xml:space="preserve">   Alcool éthylique et eaux-de-vie dénaturés de tous titres</v>
      </c>
      <c r="C2997">
        <v>985252</v>
      </c>
      <c r="D2997">
        <v>13</v>
      </c>
    </row>
    <row r="2998" spans="1:4" x14ac:dyDescent="0.25">
      <c r="A2998" t="str">
        <f>T("   250100")</f>
        <v xml:space="preserve">   250100</v>
      </c>
      <c r="B2998" t="s">
        <v>63</v>
      </c>
      <c r="C2998">
        <v>34766</v>
      </c>
      <c r="D2998">
        <v>1</v>
      </c>
    </row>
    <row r="2999" spans="1:4" x14ac:dyDescent="0.25">
      <c r="A2999" t="str">
        <f>T("   271011")</f>
        <v xml:space="preserve">   271011</v>
      </c>
      <c r="B2999"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2999">
        <v>2268040096</v>
      </c>
      <c r="D2999">
        <v>5815615</v>
      </c>
    </row>
    <row r="3000" spans="1:4" x14ac:dyDescent="0.25">
      <c r="A3000" t="str">
        <f>T("   271019")</f>
        <v xml:space="preserve">   271019</v>
      </c>
      <c r="B3000" t="str">
        <f>T("   Huiles moyennes et préparations, de pétrole ou de minéraux bitumineux, n.d.a.")</f>
        <v xml:space="preserve">   Huiles moyennes et préparations, de pétrole ou de minéraux bitumineux, n.d.a.</v>
      </c>
      <c r="C3000">
        <v>7549727571</v>
      </c>
      <c r="D3000">
        <v>23320016</v>
      </c>
    </row>
    <row r="3001" spans="1:4" x14ac:dyDescent="0.25">
      <c r="A3001" t="str">
        <f>T("   271113")</f>
        <v xml:space="preserve">   271113</v>
      </c>
      <c r="B3001" t="str">
        <f>T("   Butanes, liquéfiés (à l'excl. des butanes d'une pureté &gt;= 95% en n-butane ou en isobutane)")</f>
        <v xml:space="preserve">   Butanes, liquéfiés (à l'excl. des butanes d'une pureté &gt;= 95% en n-butane ou en isobutane)</v>
      </c>
      <c r="C3001">
        <v>113386916</v>
      </c>
      <c r="D3001">
        <v>284120</v>
      </c>
    </row>
    <row r="3002" spans="1:4" x14ac:dyDescent="0.25">
      <c r="A3002" t="str">
        <f>T("   271129")</f>
        <v xml:space="preserve">   271129</v>
      </c>
      <c r="B3002" t="str">
        <f>T("   Hydrocarbures à l'état gazeux, n.d.a. (à l'excl. du gaz naturel)")</f>
        <v xml:space="preserve">   Hydrocarbures à l'état gazeux, n.d.a. (à l'excl. du gaz naturel)</v>
      </c>
      <c r="C3002">
        <v>1748790</v>
      </c>
      <c r="D3002">
        <v>137</v>
      </c>
    </row>
    <row r="3003" spans="1:4" x14ac:dyDescent="0.25">
      <c r="A3003" t="str">
        <f>T("   271210")</f>
        <v xml:space="preserve">   271210</v>
      </c>
      <c r="B3003" t="str">
        <f>T("   Vaseline")</f>
        <v xml:space="preserve">   Vaseline</v>
      </c>
      <c r="C3003">
        <v>12358942</v>
      </c>
      <c r="D3003">
        <v>17120</v>
      </c>
    </row>
    <row r="3004" spans="1:4" x14ac:dyDescent="0.25">
      <c r="A3004" t="str">
        <f>T("   280610")</f>
        <v xml:space="preserve">   280610</v>
      </c>
      <c r="B3004" t="str">
        <f>T("   Chlorure d'hydrogène [acide chlorhydrique]")</f>
        <v xml:space="preserve">   Chlorure d'hydrogène [acide chlorhydrique]</v>
      </c>
      <c r="C3004">
        <v>99050</v>
      </c>
      <c r="D3004">
        <v>2</v>
      </c>
    </row>
    <row r="3005" spans="1:4" x14ac:dyDescent="0.25">
      <c r="A3005" t="str">
        <f>T("   280700")</f>
        <v xml:space="preserve">   280700</v>
      </c>
      <c r="B3005" t="str">
        <f>T("   Acide sulfurique; oléum")</f>
        <v xml:space="preserve">   Acide sulfurique; oléum</v>
      </c>
      <c r="C3005">
        <v>143655</v>
      </c>
      <c r="D3005">
        <v>2</v>
      </c>
    </row>
    <row r="3006" spans="1:4" x14ac:dyDescent="0.25">
      <c r="A3006" t="str">
        <f>T("   281511")</f>
        <v xml:space="preserve">   281511</v>
      </c>
      <c r="B3006" t="str">
        <f>T("   Hydroxyde de sodium [soude caustique], solide")</f>
        <v xml:space="preserve">   Hydroxyde de sodium [soude caustique], solide</v>
      </c>
      <c r="C3006">
        <v>91309632</v>
      </c>
      <c r="D3006">
        <v>181340</v>
      </c>
    </row>
    <row r="3007" spans="1:4" x14ac:dyDescent="0.25">
      <c r="A3007" t="str">
        <f>T("   281520")</f>
        <v xml:space="preserve">   281520</v>
      </c>
      <c r="B3007" t="str">
        <f>T("   Hydroxyde de potassium [potasse caustique]")</f>
        <v xml:space="preserve">   Hydroxyde de potassium [potasse caustique]</v>
      </c>
      <c r="C3007">
        <v>758290</v>
      </c>
      <c r="D3007">
        <v>11</v>
      </c>
    </row>
    <row r="3008" spans="1:4" x14ac:dyDescent="0.25">
      <c r="A3008" t="str">
        <f>T("   282530")</f>
        <v xml:space="preserve">   282530</v>
      </c>
      <c r="B3008" t="str">
        <f>T("   Oxydes et hydroxydes de vanadium")</f>
        <v xml:space="preserve">   Oxydes et hydroxydes de vanadium</v>
      </c>
      <c r="C3008">
        <v>133160</v>
      </c>
      <c r="D3008">
        <v>2</v>
      </c>
    </row>
    <row r="3009" spans="1:4" x14ac:dyDescent="0.25">
      <c r="A3009" t="str">
        <f>T("   282611")</f>
        <v xml:space="preserve">   282611</v>
      </c>
      <c r="B3009" t="str">
        <f>T("   FLUORURES D'AMMONIUM OU DE SODIUM")</f>
        <v xml:space="preserve">   FLUORURES D'AMMONIUM OU DE SODIUM</v>
      </c>
      <c r="C3009">
        <v>263040</v>
      </c>
      <c r="D3009">
        <v>4</v>
      </c>
    </row>
    <row r="3010" spans="1:4" x14ac:dyDescent="0.25">
      <c r="A3010" t="str">
        <f>T("   282739")</f>
        <v xml:space="preserve">   282739</v>
      </c>
      <c r="B3010" t="str">
        <f>T("   CHLORURES (À L'EXCL. DES CHLORURES D'AMMONIUM, DE CALCIUM, DE MAGNÉSIUM, D'ALUMINIUM, DE NICKEL ET DE MERCURE)")</f>
        <v xml:space="preserve">   CHLORURES (À L'EXCL. DES CHLORURES D'AMMONIUM, DE CALCIUM, DE MAGNÉSIUM, D'ALUMINIUM, DE NICKEL ET DE MERCURE)</v>
      </c>
      <c r="C3010">
        <v>105597103</v>
      </c>
      <c r="D3010">
        <v>34199</v>
      </c>
    </row>
    <row r="3011" spans="1:4" x14ac:dyDescent="0.25">
      <c r="A3011" t="str">
        <f>T("   283522")</f>
        <v xml:space="preserve">   283522</v>
      </c>
      <c r="B3011" t="str">
        <f>T("   Phosphates de mono- ou de disodium")</f>
        <v xml:space="preserve">   Phosphates de mono- ou de disodium</v>
      </c>
      <c r="C3011">
        <v>100362</v>
      </c>
      <c r="D3011">
        <v>2</v>
      </c>
    </row>
    <row r="3012" spans="1:4" x14ac:dyDescent="0.25">
      <c r="A3012" t="str">
        <f>T("   290110")</f>
        <v xml:space="preserve">   290110</v>
      </c>
      <c r="B3012" t="str">
        <f>T("   Hydrocarbures acycliques, saturés")</f>
        <v xml:space="preserve">   Hydrocarbures acycliques, saturés</v>
      </c>
      <c r="C3012">
        <v>4931507</v>
      </c>
      <c r="D3012">
        <v>74</v>
      </c>
    </row>
    <row r="3013" spans="1:4" x14ac:dyDescent="0.25">
      <c r="A3013" t="str">
        <f>T("   290519")</f>
        <v xml:space="preserve">   290519</v>
      </c>
      <c r="B3013" t="s">
        <v>67</v>
      </c>
      <c r="C3013">
        <v>362746</v>
      </c>
      <c r="D3013">
        <v>7</v>
      </c>
    </row>
    <row r="3014" spans="1:4" x14ac:dyDescent="0.25">
      <c r="A3014" t="str">
        <f>T("   290532")</f>
        <v xml:space="preserve">   290532</v>
      </c>
      <c r="B3014" t="str">
        <f>T("   Propylène glycol [propane-1,2-diol]")</f>
        <v xml:space="preserve">   Propylène glycol [propane-1,2-diol]</v>
      </c>
      <c r="C3014">
        <v>5467427</v>
      </c>
      <c r="D3014">
        <v>100</v>
      </c>
    </row>
    <row r="3015" spans="1:4" x14ac:dyDescent="0.25">
      <c r="A3015" t="str">
        <f>T("   290545")</f>
        <v xml:space="preserve">   290545</v>
      </c>
      <c r="B3015" t="str">
        <f>T("   Glycérol")</f>
        <v xml:space="preserve">   Glycérol</v>
      </c>
      <c r="C3015">
        <v>170550</v>
      </c>
      <c r="D3015">
        <v>3</v>
      </c>
    </row>
    <row r="3016" spans="1:4" x14ac:dyDescent="0.25">
      <c r="A3016" t="str">
        <f>T("   290715")</f>
        <v xml:space="preserve">   290715</v>
      </c>
      <c r="B3016" t="str">
        <f>T("   Naphtols et leurs sels")</f>
        <v xml:space="preserve">   Naphtols et leurs sels</v>
      </c>
      <c r="C3016">
        <v>306333</v>
      </c>
      <c r="D3016">
        <v>5</v>
      </c>
    </row>
    <row r="3017" spans="1:4" x14ac:dyDescent="0.25">
      <c r="A3017" t="str">
        <f>T("   291211")</f>
        <v xml:space="preserve">   291211</v>
      </c>
      <c r="B3017" t="str">
        <f>T("   Méthanal [formaldéhyde]")</f>
        <v xml:space="preserve">   Méthanal [formaldéhyde]</v>
      </c>
      <c r="C3017">
        <v>54445</v>
      </c>
      <c r="D3017">
        <v>1</v>
      </c>
    </row>
    <row r="3018" spans="1:4" x14ac:dyDescent="0.25">
      <c r="A3018" t="str">
        <f>T("   291411")</f>
        <v xml:space="preserve">   291411</v>
      </c>
      <c r="B3018" t="str">
        <f>T("   Acétone")</f>
        <v xml:space="preserve">   Acétone</v>
      </c>
      <c r="C3018">
        <v>163990</v>
      </c>
      <c r="D3018">
        <v>3</v>
      </c>
    </row>
    <row r="3019" spans="1:4" x14ac:dyDescent="0.25">
      <c r="A3019" t="str">
        <f>T("   291639")</f>
        <v xml:space="preserve">   291639</v>
      </c>
      <c r="B3019" t="s">
        <v>69</v>
      </c>
      <c r="C3019">
        <v>205506365</v>
      </c>
      <c r="D3019">
        <v>34361</v>
      </c>
    </row>
    <row r="3020" spans="1:4" x14ac:dyDescent="0.25">
      <c r="A3020" t="str">
        <f>T("   292520")</f>
        <v xml:space="preserve">   292520</v>
      </c>
      <c r="B3020" t="str">
        <f>T("   Imines et leurs dérivés; sels de ces produits")</f>
        <v xml:space="preserve">   Imines et leurs dérivés; sels de ces produits</v>
      </c>
      <c r="C3020">
        <v>99706</v>
      </c>
      <c r="D3020">
        <v>2</v>
      </c>
    </row>
    <row r="3021" spans="1:4" x14ac:dyDescent="0.25">
      <c r="A3021" t="str">
        <f>T("   292910")</f>
        <v xml:space="preserve">   292910</v>
      </c>
      <c r="B3021" t="str">
        <f>T("   Isocyanates")</f>
        <v xml:space="preserve">   Isocyanates</v>
      </c>
      <c r="C3021">
        <v>396200</v>
      </c>
      <c r="D3021">
        <v>45</v>
      </c>
    </row>
    <row r="3022" spans="1:4" x14ac:dyDescent="0.25">
      <c r="A3022" t="str">
        <f>T("   293229")</f>
        <v xml:space="preserve">   293229</v>
      </c>
      <c r="B3022" t="str">
        <f>T("   LACTONES (À L'EXCL. DE LA COUMARINE, DES MÉTHYLCOUMARINES, DES ÉTHYLCOUMARINES AINSI QUE DES COMPOSÉS INORGANIQUES OU ORGANIQUES DU MERCURE)")</f>
        <v xml:space="preserve">   LACTONES (À L'EXCL. DE LA COUMARINE, DES MÉTHYLCOUMARINES, DES ÉTHYLCOUMARINES AINSI QUE DES COMPOSÉS INORGANIQUES OU ORGANIQUES DU MERCURE)</v>
      </c>
      <c r="C3022">
        <v>298462</v>
      </c>
      <c r="D3022">
        <v>4</v>
      </c>
    </row>
    <row r="3023" spans="1:4" x14ac:dyDescent="0.25">
      <c r="A3023" t="str">
        <f>T("   300220")</f>
        <v xml:space="preserve">   300220</v>
      </c>
      <c r="B3023" t="str">
        <f>T("   Vaccins pour la médecine humaine")</f>
        <v xml:space="preserve">   Vaccins pour la médecine humaine</v>
      </c>
      <c r="C3023">
        <v>22098319</v>
      </c>
      <c r="D3023">
        <v>444</v>
      </c>
    </row>
    <row r="3024" spans="1:4" x14ac:dyDescent="0.25">
      <c r="A3024" t="str">
        <f>T("   300339")</f>
        <v xml:space="preserve">   300339</v>
      </c>
      <c r="B3024" t="str">
        <f>T("   Médicaments contenant des hormones ou des stéroïdes utilisés comme hormones, mais ne contenant pas d'antibiotiques, non présentés sous forme de doses, ni conditionnés pour la vente au détail (à l'excl. des médicaments contenant de l'insuline)")</f>
        <v xml:space="preserve">   Médicaments contenant des hormones ou des stéroïdes utilisés comme hormones, mais ne contenant pas d'antibiotiques, non présentés sous forme de doses, ni conditionnés pour la vente au détail (à l'excl. des médicaments contenant de l'insuline)</v>
      </c>
      <c r="C3024">
        <v>5403011</v>
      </c>
      <c r="D3024">
        <v>1465</v>
      </c>
    </row>
    <row r="3025" spans="1:4" x14ac:dyDescent="0.25">
      <c r="A3025" t="str">
        <f>T("   300490")</f>
        <v xml:space="preserve">   300490</v>
      </c>
      <c r="B3025" t="s">
        <v>80</v>
      </c>
      <c r="C3025">
        <v>104185444</v>
      </c>
      <c r="D3025">
        <v>10210</v>
      </c>
    </row>
    <row r="3026" spans="1:4" x14ac:dyDescent="0.25">
      <c r="A3026" t="str">
        <f>T("   300590")</f>
        <v xml:space="preserve">   300590</v>
      </c>
      <c r="B3026" t="s">
        <v>81</v>
      </c>
      <c r="C3026">
        <v>26894</v>
      </c>
      <c r="D3026">
        <v>50</v>
      </c>
    </row>
    <row r="3027" spans="1:4" x14ac:dyDescent="0.25">
      <c r="A3027" t="str">
        <f>T("   300610")</f>
        <v xml:space="preserve">   300610</v>
      </c>
      <c r="B3027" t="s">
        <v>82</v>
      </c>
      <c r="C3027">
        <v>31735</v>
      </c>
      <c r="D3027">
        <v>2</v>
      </c>
    </row>
    <row r="3028" spans="1:4" x14ac:dyDescent="0.25">
      <c r="A3028" t="str">
        <f>T("   300620")</f>
        <v xml:space="preserve">   300620</v>
      </c>
      <c r="B3028" t="str">
        <f>T("   Réactifs destinés à la détermination des groupes ou des facteurs sanguins")</f>
        <v xml:space="preserve">   Réactifs destinés à la détermination des groupes ou des facteurs sanguins</v>
      </c>
      <c r="C3028">
        <v>1135073</v>
      </c>
      <c r="D3028">
        <v>820</v>
      </c>
    </row>
    <row r="3029" spans="1:4" x14ac:dyDescent="0.25">
      <c r="A3029" t="str">
        <f>T("   300630")</f>
        <v xml:space="preserve">   300630</v>
      </c>
      <c r="B3029" t="str">
        <f>T("   Préparations opacifiantes pour examens radiographiques; réactifs de diagnostic conçus pour être employés sur le patient")</f>
        <v xml:space="preserve">   Préparations opacifiantes pour examens radiographiques; réactifs de diagnostic conçus pour être employés sur le patient</v>
      </c>
      <c r="C3029">
        <v>9813162</v>
      </c>
      <c r="D3029">
        <v>4371</v>
      </c>
    </row>
    <row r="3030" spans="1:4" x14ac:dyDescent="0.25">
      <c r="A3030" t="str">
        <f>T("   320490")</f>
        <v xml:space="preserve">   320490</v>
      </c>
      <c r="B3030" t="str">
        <f>T("   Produits organiques synthétiques des types utilisés comme luminophores, même de constitution chimique définie")</f>
        <v xml:space="preserve">   Produits organiques synthétiques des types utilisés comme luminophores, même de constitution chimique définie</v>
      </c>
      <c r="C3030">
        <v>716964</v>
      </c>
      <c r="D3030">
        <v>2000</v>
      </c>
    </row>
    <row r="3031" spans="1:4" x14ac:dyDescent="0.25">
      <c r="A3031" t="str">
        <f>T("   321210")</f>
        <v xml:space="preserve">   321210</v>
      </c>
      <c r="B3031" t="str">
        <f>T("   Feuilles pour le marquage au fer, des types utilisés pour le marquage des reliures, des cuirs ou coiffes de chapeaux")</f>
        <v xml:space="preserve">   Feuilles pour le marquage au fer, des types utilisés pour le marquage des reliures, des cuirs ou coiffes de chapeaux</v>
      </c>
      <c r="C3031">
        <v>8824631</v>
      </c>
      <c r="D3031">
        <v>405</v>
      </c>
    </row>
    <row r="3032" spans="1:4" x14ac:dyDescent="0.25">
      <c r="A3032" t="str">
        <f>T("   321490")</f>
        <v xml:space="preserve">   321490</v>
      </c>
      <c r="B3032" t="str">
        <f>T("   Enduits non réfractaires des types utilisés en maçonnerie")</f>
        <v xml:space="preserve">   Enduits non réfractaires des types utilisés en maçonnerie</v>
      </c>
      <c r="C3032">
        <v>154026</v>
      </c>
      <c r="D3032">
        <v>4</v>
      </c>
    </row>
    <row r="3033" spans="1:4" x14ac:dyDescent="0.25">
      <c r="A3033" t="str">
        <f>T("   321519")</f>
        <v xml:space="preserve">   321519</v>
      </c>
      <c r="B3033" t="str">
        <f>T("   Encres d'imprimerie, même concentrées ou sous formes solides (à l'excl. des encres noires)")</f>
        <v xml:space="preserve">   Encres d'imprimerie, même concentrées ou sous formes solides (à l'excl. des encres noires)</v>
      </c>
      <c r="C3033">
        <v>236802</v>
      </c>
      <c r="D3033">
        <v>100</v>
      </c>
    </row>
    <row r="3034" spans="1:4" x14ac:dyDescent="0.25">
      <c r="A3034" t="str">
        <f>T("   321590")</f>
        <v xml:space="preserve">   321590</v>
      </c>
      <c r="B3034" t="str">
        <f>T("   Encres à écrire et à dessiner, même concentrées ou sous formes solides")</f>
        <v xml:space="preserve">   Encres à écrire et à dessiner, même concentrées ou sous formes solides</v>
      </c>
      <c r="C3034">
        <v>11466837</v>
      </c>
      <c r="D3034">
        <v>595</v>
      </c>
    </row>
    <row r="3035" spans="1:4" x14ac:dyDescent="0.25">
      <c r="A3035" t="str">
        <f>T("   330210")</f>
        <v xml:space="preserve">   330210</v>
      </c>
      <c r="B3035" t="str">
        <f>T("   Mélanges de substances odoriférantes et mélanges, y.c. les solutions alcooliques, à base d'une ou de plusieurs de ces substances, des types utilisés comme matières de base pour les industries des produits alimentaires et des boissons")</f>
        <v xml:space="preserve">   Mélanges de substances odoriférantes et mélanges, y.c. les solutions alcooliques, à base d'une ou de plusieurs de ces substances, des types utilisés comme matières de base pour les industries des produits alimentaires et des boissons</v>
      </c>
      <c r="C3035">
        <v>407852194</v>
      </c>
      <c r="D3035">
        <v>19959</v>
      </c>
    </row>
    <row r="3036" spans="1:4" x14ac:dyDescent="0.25">
      <c r="A3036" t="str">
        <f>T("   330499")</f>
        <v xml:space="preserve">   330499</v>
      </c>
      <c r="B3036" t="s">
        <v>101</v>
      </c>
      <c r="C3036">
        <v>65596</v>
      </c>
      <c r="D3036">
        <v>186</v>
      </c>
    </row>
    <row r="3037" spans="1:4" x14ac:dyDescent="0.25">
      <c r="A3037" t="str">
        <f>T("   340119")</f>
        <v xml:space="preserve">   340119</v>
      </c>
      <c r="B3037" t="s">
        <v>103</v>
      </c>
      <c r="C3037">
        <v>935000</v>
      </c>
      <c r="D3037">
        <v>1070</v>
      </c>
    </row>
    <row r="3038" spans="1:4" x14ac:dyDescent="0.25">
      <c r="A3038" t="str">
        <f>T("   340290")</f>
        <v xml:space="preserve">   340290</v>
      </c>
      <c r="B3038" t="s">
        <v>105</v>
      </c>
      <c r="C3038">
        <v>4691326</v>
      </c>
      <c r="D3038">
        <v>3172</v>
      </c>
    </row>
    <row r="3039" spans="1:4" x14ac:dyDescent="0.25">
      <c r="A3039" t="str">
        <f>T("   350691")</f>
        <v xml:space="preserve">   350691</v>
      </c>
      <c r="B3039" t="str">
        <f>T("   Adhésifs à base de polymères du n° 3901 à 3913 ou de caoutchouc (à l'excl. des produits conditionnés pour la vente au détail comme colles ou adhésifs, d'un poids net &lt;= 1 kg)")</f>
        <v xml:space="preserve">   Adhésifs à base de polymères du n° 3901 à 3913 ou de caoutchouc (à l'excl. des produits conditionnés pour la vente au détail comme colles ou adhésifs, d'un poids net &lt;= 1 kg)</v>
      </c>
      <c r="C3039">
        <v>38061423</v>
      </c>
      <c r="D3039">
        <v>16595</v>
      </c>
    </row>
    <row r="3040" spans="1:4" x14ac:dyDescent="0.25">
      <c r="A3040" t="str">
        <f>T("   350699")</f>
        <v xml:space="preserve">   350699</v>
      </c>
      <c r="B3040" t="str">
        <f>T("   Colles et autres adhésifs préparés, n.d.a.")</f>
        <v xml:space="preserve">   Colles et autres adhésifs préparés, n.d.a.</v>
      </c>
      <c r="C3040">
        <v>238769</v>
      </c>
      <c r="D3040">
        <v>1</v>
      </c>
    </row>
    <row r="3041" spans="1:4" x14ac:dyDescent="0.25">
      <c r="A3041" t="str">
        <f>T("   350790")</f>
        <v xml:space="preserve">   350790</v>
      </c>
      <c r="B3041" t="str">
        <f>T("   Enzymes et enzymes préparées, n.d.a. (à l'excl. de la présure et de ses concentrats)")</f>
        <v xml:space="preserve">   Enzymes et enzymes préparées, n.d.a. (à l'excl. de la présure et de ses concentrats)</v>
      </c>
      <c r="C3041">
        <v>10287421</v>
      </c>
      <c r="D3041">
        <v>173</v>
      </c>
    </row>
    <row r="3042" spans="1:4" x14ac:dyDescent="0.25">
      <c r="A3042" t="str">
        <f>T("   370320")</f>
        <v xml:space="preserve">   370320</v>
      </c>
      <c r="B3042" t="str">
        <f>T("   PAPIERS, CARTONS ET TEXTILES, PHOTOGRAPHIQUES, SENSIBILISÉS, NON-IMPRESSIONNÉS, POUR LA PHOTOGRAPHIE EN COULEURS [POLYCHROME] (À L'EXCL. DES PRODUITS EN ROULEAUX D'UNE LARGEUR &gt; 610 MM)")</f>
        <v xml:space="preserve">   PAPIERS, CARTONS ET TEXTILES, PHOTOGRAPHIQUES, SENSIBILISÉS, NON-IMPRESSIONNÉS, POUR LA PHOTOGRAPHIE EN COULEURS [POLYCHROME] (À L'EXCL. DES PRODUITS EN ROULEAUX D'UNE LARGEUR &gt; 610 MM)</v>
      </c>
      <c r="C3042">
        <v>1864771</v>
      </c>
      <c r="D3042">
        <v>11353</v>
      </c>
    </row>
    <row r="3043" spans="1:4" x14ac:dyDescent="0.25">
      <c r="A3043" t="str">
        <f>T("   370390")</f>
        <v xml:space="preserve">   370390</v>
      </c>
      <c r="B3043" t="str">
        <f>T("   PAPIERS, CARTONS ET TEXTILES, PHOTOGRAPHIQUES, SENSIBILISÉS, NON-IMPRESSIONNÉS, POUR LA PHOTOGRAPHIE EN MONOCHROME (À L'EXCL. DES PRODUITS EN ROULEAUX D'UNE LARGEUR &gt; 610 MM)")</f>
        <v xml:space="preserve">   PAPIERS, CARTONS ET TEXTILES, PHOTOGRAPHIQUES, SENSIBILISÉS, NON-IMPRESSIONNÉS, POUR LA PHOTOGRAPHIE EN MONOCHROME (À L'EXCL. DES PRODUITS EN ROULEAUX D'UNE LARGEUR &gt; 610 MM)</v>
      </c>
      <c r="C3043">
        <v>516897</v>
      </c>
      <c r="D3043">
        <v>1460</v>
      </c>
    </row>
    <row r="3044" spans="1:4" x14ac:dyDescent="0.25">
      <c r="A3044" t="str">
        <f>T("   370790")</f>
        <v xml:space="preserve">   370790</v>
      </c>
      <c r="B3044" t="s">
        <v>118</v>
      </c>
      <c r="C3044">
        <v>411955</v>
      </c>
      <c r="D3044">
        <v>3028</v>
      </c>
    </row>
    <row r="3045" spans="1:4" x14ac:dyDescent="0.25">
      <c r="A3045" t="str">
        <f>T("   380890")</f>
        <v xml:space="preserve">   380890</v>
      </c>
      <c r="B3045" t="str">
        <f>T("   Antirongeurs et autres produits phytosanitaires, présentés dans des formes ou emballages de vente au détail ou à l'état de préparations ou sous forme d'articles (à l'excl. des insecticides, des fongicides, des herbicides et des désinfectants)")</f>
        <v xml:space="preserve">   Antirongeurs et autres produits phytosanitaires, présentés dans des formes ou emballages de vente au détail ou à l'état de préparations ou sous forme d'articles (à l'excl. des insecticides, des fongicides, des herbicides et des désinfectants)</v>
      </c>
      <c r="C3045">
        <v>3146640</v>
      </c>
      <c r="D3045">
        <v>343</v>
      </c>
    </row>
    <row r="3046" spans="1:4" x14ac:dyDescent="0.25">
      <c r="A3046" t="str">
        <f>T("   380991")</f>
        <v xml:space="preserve">   380991</v>
      </c>
      <c r="B3046" t="s">
        <v>121</v>
      </c>
      <c r="C3046">
        <v>2327320</v>
      </c>
      <c r="D3046">
        <v>2249</v>
      </c>
    </row>
    <row r="3047" spans="1:4" x14ac:dyDescent="0.25">
      <c r="A3047" t="str">
        <f>T("   381400")</f>
        <v xml:space="preserve">   381400</v>
      </c>
      <c r="B3047" t="str">
        <f>T("   Solvants et diluants organiques composites, n.d.a.; préparations conçues pour enlever les peintures ou les vernis (à l'excl. des dissolvants pour vernis à ongles)")</f>
        <v xml:space="preserve">   Solvants et diluants organiques composites, n.d.a.; préparations conçues pour enlever les peintures ou les vernis (à l'excl. des dissolvants pour vernis à ongles)</v>
      </c>
      <c r="C3047">
        <v>191977</v>
      </c>
      <c r="D3047">
        <v>11</v>
      </c>
    </row>
    <row r="3048" spans="1:4" x14ac:dyDescent="0.25">
      <c r="A3048" t="str">
        <f>T("   382100")</f>
        <v xml:space="preserve">   382100</v>
      </c>
      <c r="B3048" t="str">
        <f>T("   Milieux de culture préparés pour le développement des micro-organismes")</f>
        <v xml:space="preserve">   Milieux de culture préparés pour le développement des micro-organismes</v>
      </c>
      <c r="C3048">
        <v>1383505</v>
      </c>
      <c r="D3048">
        <v>38</v>
      </c>
    </row>
    <row r="3049" spans="1:4" x14ac:dyDescent="0.25">
      <c r="A3049" t="str">
        <f>T("   382200")</f>
        <v xml:space="preserve">   382200</v>
      </c>
      <c r="B3049" t="s">
        <v>126</v>
      </c>
      <c r="C3049">
        <v>66575692</v>
      </c>
      <c r="D3049">
        <v>13832</v>
      </c>
    </row>
    <row r="3050" spans="1:4" x14ac:dyDescent="0.25">
      <c r="A3050" t="str">
        <f>T("   382490")</f>
        <v xml:space="preserve">   382490</v>
      </c>
      <c r="B3050" t="str">
        <f>T("   Produits chimiques et préparations des industries chimiques ou des industries connexes, y.c. celles consistant en mélanges de produits naturels, n.d.a.")</f>
        <v xml:space="preserve">   Produits chimiques et préparations des industries chimiques ou des industries connexes, y.c. celles consistant en mélanges de produits naturels, n.d.a.</v>
      </c>
      <c r="C3050">
        <v>10952701</v>
      </c>
      <c r="D3050">
        <v>2357.25</v>
      </c>
    </row>
    <row r="3051" spans="1:4" x14ac:dyDescent="0.25">
      <c r="A3051" t="str">
        <f>T("   390311")</f>
        <v xml:space="preserve">   390311</v>
      </c>
      <c r="B3051" t="str">
        <f>T("   Polystyrène expansible, sous formes primaires")</f>
        <v xml:space="preserve">   Polystyrène expansible, sous formes primaires</v>
      </c>
      <c r="C3051">
        <v>28343</v>
      </c>
      <c r="D3051">
        <v>18</v>
      </c>
    </row>
    <row r="3052" spans="1:4" x14ac:dyDescent="0.25">
      <c r="A3052" t="str">
        <f>T("   390950")</f>
        <v xml:space="preserve">   390950</v>
      </c>
      <c r="B3052" t="str">
        <f>T("   Polyuréthannes, sous formes primaires")</f>
        <v xml:space="preserve">   Polyuréthannes, sous formes primaires</v>
      </c>
      <c r="C3052">
        <v>82169</v>
      </c>
      <c r="D3052">
        <v>4</v>
      </c>
    </row>
    <row r="3053" spans="1:4" x14ac:dyDescent="0.25">
      <c r="A3053" t="str">
        <f>T("   391000")</f>
        <v xml:space="preserve">   391000</v>
      </c>
      <c r="B3053" t="str">
        <f>T("   Silicones sous formes primaires")</f>
        <v xml:space="preserve">   Silicones sous formes primaires</v>
      </c>
      <c r="C3053">
        <v>47356</v>
      </c>
      <c r="D3053">
        <v>2</v>
      </c>
    </row>
    <row r="3054" spans="1:4" x14ac:dyDescent="0.25">
      <c r="A3054" t="str">
        <f>T("   391220")</f>
        <v xml:space="preserve">   391220</v>
      </c>
      <c r="B3054" t="str">
        <f>T("   Nitrates de cellulose, y.c. les collodions, sous formes primaires")</f>
        <v xml:space="preserve">   Nitrates de cellulose, y.c. les collodions, sous formes primaires</v>
      </c>
      <c r="C3054">
        <v>10375975</v>
      </c>
      <c r="D3054">
        <v>3478</v>
      </c>
    </row>
    <row r="3055" spans="1:4" x14ac:dyDescent="0.25">
      <c r="A3055" t="str">
        <f>T("   391732")</f>
        <v xml:space="preserve">   391732</v>
      </c>
      <c r="B3055" t="str">
        <f>T("   TUBES ET TUYAUX SOUPLES, EN MATIÈRES PLASTIQUES, NON-RENFORCÉS D'AUTRES MATIÈRES NI AUTREMENT ASSOCIÉS À D'AUTRES MATIÈRES, SANS ACCESSOIRES")</f>
        <v xml:space="preserve">   TUBES ET TUYAUX SOUPLES, EN MATIÈRES PLASTIQUES, NON-RENFORCÉS D'AUTRES MATIÈRES NI AUTREMENT ASSOCIÉS À D'AUTRES MATIÈRES, SANS ACCESSOIRES</v>
      </c>
      <c r="C3055">
        <v>230242</v>
      </c>
      <c r="D3055">
        <v>122</v>
      </c>
    </row>
    <row r="3056" spans="1:4" x14ac:dyDescent="0.25">
      <c r="A3056" t="str">
        <f>T("   391739")</f>
        <v xml:space="preserve">   391739</v>
      </c>
      <c r="B3056" t="str">
        <f>T("   TUBES ET TUYAUX SOUPLES, EN MATIÈRES PLASTIQUES, RENFORCÉS D'AUTRES MATIÈRES OU ASSOCIÉS À D'AUTRES MATIÈRES (À L'EXCL. DES PRODUITS POUVANT SUPPORTER UNE PRESSION &gt;= 27,6 MPA)")</f>
        <v xml:space="preserve">   TUBES ET TUYAUX SOUPLES, EN MATIÈRES PLASTIQUES, RENFORCÉS D'AUTRES MATIÈRES OU ASSOCIÉS À D'AUTRES MATIÈRES (À L'EXCL. DES PRODUITS POUVANT SUPPORTER UNE PRESSION &gt;= 27,6 MPA)</v>
      </c>
      <c r="C3056">
        <v>1440285</v>
      </c>
      <c r="D3056">
        <v>207.15</v>
      </c>
    </row>
    <row r="3057" spans="1:4" x14ac:dyDescent="0.25">
      <c r="A3057" t="str">
        <f>T("   392099")</f>
        <v xml:space="preserve">   392099</v>
      </c>
      <c r="B3057" t="s">
        <v>145</v>
      </c>
      <c r="C3057">
        <v>20200944</v>
      </c>
      <c r="D3057">
        <v>12042</v>
      </c>
    </row>
    <row r="3058" spans="1:4" x14ac:dyDescent="0.25">
      <c r="A3058" t="str">
        <f>T("   392329")</f>
        <v xml:space="preserve">   392329</v>
      </c>
      <c r="B3058" t="str">
        <f>T("   Sacs, sachets, pochettes et cornets, en matières plastiques (autres que les polymères de l'éthylène)")</f>
        <v xml:space="preserve">   Sacs, sachets, pochettes et cornets, en matières plastiques (autres que les polymères de l'éthylène)</v>
      </c>
      <c r="C3058">
        <v>82651</v>
      </c>
      <c r="D3058">
        <v>95</v>
      </c>
    </row>
    <row r="3059" spans="1:4" x14ac:dyDescent="0.25">
      <c r="A3059" t="str">
        <f>T("   392330")</f>
        <v xml:space="preserve">   392330</v>
      </c>
      <c r="B3059" t="str">
        <f>T("   Bonbonnes, bouteilles, flacons et articles simil. pour le transport ou l'emballage, en matières plastiques")</f>
        <v xml:space="preserve">   Bonbonnes, bouteilles, flacons et articles simil. pour le transport ou l'emballage, en matières plastiques</v>
      </c>
      <c r="C3059">
        <v>16818815</v>
      </c>
      <c r="D3059">
        <v>12324</v>
      </c>
    </row>
    <row r="3060" spans="1:4" x14ac:dyDescent="0.25">
      <c r="A3060" t="str">
        <f>T("   392350")</f>
        <v xml:space="preserve">   392350</v>
      </c>
      <c r="B3060" t="str">
        <f>T("   Bouchons, couvercles, capsules et autres dispositifs de fermeture, en matières plastiques")</f>
        <v xml:space="preserve">   Bouchons, couvercles, capsules et autres dispositifs de fermeture, en matières plastiques</v>
      </c>
      <c r="C3060">
        <v>5710753</v>
      </c>
      <c r="D3060">
        <v>387</v>
      </c>
    </row>
    <row r="3061" spans="1:4" x14ac:dyDescent="0.25">
      <c r="A3061" t="str">
        <f>T("   392390")</f>
        <v xml:space="preserve">   392390</v>
      </c>
      <c r="B3061" t="s">
        <v>150</v>
      </c>
      <c r="C3061">
        <v>15688373</v>
      </c>
      <c r="D3061">
        <v>7920</v>
      </c>
    </row>
    <row r="3062" spans="1:4" x14ac:dyDescent="0.25">
      <c r="A3062" t="str">
        <f>T("   392410")</f>
        <v xml:space="preserve">   392410</v>
      </c>
      <c r="B3062" t="str">
        <f>T("   Vaisselle et autres articles pour le service de la table ou de la cuisine, en matières plastiques")</f>
        <v xml:space="preserve">   Vaisselle et autres articles pour le service de la table ou de la cuisine, en matières plastiques</v>
      </c>
      <c r="C3062">
        <v>3037095</v>
      </c>
      <c r="D3062">
        <v>167</v>
      </c>
    </row>
    <row r="3063" spans="1:4" x14ac:dyDescent="0.25">
      <c r="A3063" t="str">
        <f>T("   392490")</f>
        <v xml:space="preserve">   392490</v>
      </c>
      <c r="B3063" t="s">
        <v>151</v>
      </c>
      <c r="C3063">
        <v>57069</v>
      </c>
      <c r="D3063">
        <v>6</v>
      </c>
    </row>
    <row r="3064" spans="1:4" x14ac:dyDescent="0.25">
      <c r="A3064" t="str">
        <f>T("   392610")</f>
        <v xml:space="preserve">   392610</v>
      </c>
      <c r="B3064" t="str">
        <f>T("   Articles de bureau et articles scolaires, en matières plastiques, n.d.a.")</f>
        <v xml:space="preserve">   Articles de bureau et articles scolaires, en matières plastiques, n.d.a.</v>
      </c>
      <c r="C3064">
        <v>3018728</v>
      </c>
      <c r="D3064">
        <v>5011</v>
      </c>
    </row>
    <row r="3065" spans="1:4" x14ac:dyDescent="0.25">
      <c r="A3065" t="str">
        <f>T("   392640")</f>
        <v xml:space="preserve">   392640</v>
      </c>
      <c r="B3065" t="str">
        <f>T("   Statuettes et autres objets d'ornementation, en matières plastiques")</f>
        <v xml:space="preserve">   Statuettes et autres objets d'ornementation, en matières plastiques</v>
      </c>
      <c r="C3065">
        <v>29518</v>
      </c>
      <c r="D3065">
        <v>80</v>
      </c>
    </row>
    <row r="3066" spans="1:4" x14ac:dyDescent="0.25">
      <c r="A3066" t="str">
        <f>T("   392690")</f>
        <v xml:space="preserve">   392690</v>
      </c>
      <c r="B3066" t="str">
        <f>T("   Ouvrages en matières plastiques et ouvrages en autres matières du n° 3901 à 3914, n.d.a.")</f>
        <v xml:space="preserve">   Ouvrages en matières plastiques et ouvrages en autres matières du n° 3901 à 3914, n.d.a.</v>
      </c>
      <c r="C3066">
        <v>5243021</v>
      </c>
      <c r="D3066">
        <v>1888</v>
      </c>
    </row>
    <row r="3067" spans="1:4" x14ac:dyDescent="0.25">
      <c r="A3067" t="str">
        <f>T("   400911")</f>
        <v xml:space="preserve">   400911</v>
      </c>
      <c r="B3067" t="str">
        <f>T("   Tubes et tuyaux en caoutchouc vulcanisé non durci, non renforcés à l'aide d'autres matières ni autrement associés à d'autres matières, sans accessoires")</f>
        <v xml:space="preserve">   Tubes et tuyaux en caoutchouc vulcanisé non durci, non renforcés à l'aide d'autres matières ni autrement associés à d'autres matières, sans accessoires</v>
      </c>
      <c r="C3067">
        <v>592661</v>
      </c>
      <c r="D3067">
        <v>7</v>
      </c>
    </row>
    <row r="3068" spans="1:4" x14ac:dyDescent="0.25">
      <c r="A3068" t="str">
        <f>T("   400941")</f>
        <v xml:space="preserve">   400941</v>
      </c>
      <c r="B3068" t="str">
        <f>T("   Tubes et tuyaux en caoutchouc vulcanisé non durci, renforcés à l'aide d'autres matières que le métal ou les matières textiles ou autrement associés à d'autres matières que le métal ou les matières textiles, sans accessoires")</f>
        <v xml:space="preserve">   Tubes et tuyaux en caoutchouc vulcanisé non durci, renforcés à l'aide d'autres matières que le métal ou les matières textiles ou autrement associés à d'autres matières que le métal ou les matières textiles, sans accessoires</v>
      </c>
      <c r="C3068">
        <v>3324458</v>
      </c>
      <c r="D3068">
        <v>170.75</v>
      </c>
    </row>
    <row r="3069" spans="1:4" x14ac:dyDescent="0.25">
      <c r="A3069" t="str">
        <f>T("   400942")</f>
        <v xml:space="preserve">   400942</v>
      </c>
      <c r="B3069" t="s">
        <v>155</v>
      </c>
      <c r="C3069">
        <v>529585</v>
      </c>
      <c r="D3069">
        <v>22</v>
      </c>
    </row>
    <row r="3070" spans="1:4" x14ac:dyDescent="0.25">
      <c r="A3070" t="str">
        <f>T("   401019")</f>
        <v xml:space="preserve">   401019</v>
      </c>
      <c r="B3070" t="str">
        <f>T("   Courroies transporteuses, en caoutchouc vulcanisé (à l'excl. des produits renforcés seulement de métal, de matières textiles ou de matières plastiques)")</f>
        <v xml:space="preserve">   Courroies transporteuses, en caoutchouc vulcanisé (à l'excl. des produits renforcés seulement de métal, de matières textiles ou de matières plastiques)</v>
      </c>
      <c r="C3070">
        <v>1094141</v>
      </c>
      <c r="D3070">
        <v>140</v>
      </c>
    </row>
    <row r="3071" spans="1:4" x14ac:dyDescent="0.25">
      <c r="A3071" t="str">
        <f>T("   401031")</f>
        <v xml:space="preserve">   401031</v>
      </c>
      <c r="B3071" t="str">
        <f>T("   Courroies de transmission sans fin de section trapézoïdale, en caoutchouc vulcanisé, striées, d'une circonférence extérieure &gt; 60 cm mais &lt;= 180 cm")</f>
        <v xml:space="preserve">   Courroies de transmission sans fin de section trapézoïdale, en caoutchouc vulcanisé, striées, d'une circonférence extérieure &gt; 60 cm mais &lt;= 180 cm</v>
      </c>
      <c r="C3071">
        <v>122009</v>
      </c>
      <c r="D3071">
        <v>2</v>
      </c>
    </row>
    <row r="3072" spans="1:4" x14ac:dyDescent="0.25">
      <c r="A3072" t="str">
        <f>T("   401039")</f>
        <v xml:space="preserve">   401039</v>
      </c>
      <c r="B3072" t="s">
        <v>157</v>
      </c>
      <c r="C3072">
        <v>8629510</v>
      </c>
      <c r="D3072">
        <v>151</v>
      </c>
    </row>
    <row r="3073" spans="1:4" x14ac:dyDescent="0.25">
      <c r="A3073" t="str">
        <f>T("   401110")</f>
        <v xml:space="preserve">   401110</v>
      </c>
      <c r="B3073"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3073">
        <v>15323861</v>
      </c>
      <c r="D3073">
        <v>10578</v>
      </c>
    </row>
    <row r="3074" spans="1:4" x14ac:dyDescent="0.25">
      <c r="A3074" t="str">
        <f>T("   401120")</f>
        <v xml:space="preserve">   401120</v>
      </c>
      <c r="B3074"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3074">
        <v>19243898</v>
      </c>
      <c r="D3074">
        <v>3500</v>
      </c>
    </row>
    <row r="3075" spans="1:4" x14ac:dyDescent="0.25">
      <c r="A3075" t="str">
        <f>T("   401192")</f>
        <v xml:space="preserve">   401192</v>
      </c>
      <c r="B3075" t="str">
        <f>T("   Pneumatiques neufs, en caoutchouc, des types utilisés pour les véhicules et engins agricoles et forestiers (à l'excl. des pneumatiques à crampons, à chevrons ou simil.)")</f>
        <v xml:space="preserve">   Pneumatiques neufs, en caoutchouc, des types utilisés pour les véhicules et engins agricoles et forestiers (à l'excl. des pneumatiques à crampons, à chevrons ou simil.)</v>
      </c>
      <c r="C3075">
        <v>25475519</v>
      </c>
      <c r="D3075">
        <v>7304</v>
      </c>
    </row>
    <row r="3076" spans="1:4" x14ac:dyDescent="0.25">
      <c r="A3076" t="str">
        <f>T("   401199")</f>
        <v xml:space="preserve">   401199</v>
      </c>
      <c r="B3076" t="s">
        <v>158</v>
      </c>
      <c r="C3076">
        <v>5974666</v>
      </c>
      <c r="D3076">
        <v>1116.46</v>
      </c>
    </row>
    <row r="3077" spans="1:4" x14ac:dyDescent="0.25">
      <c r="A3077" t="str">
        <f>T("   401211")</f>
        <v xml:space="preserve">   401211</v>
      </c>
      <c r="B3077" t="str">
        <f>T("   Pneumatiques rechapés, en caoutchouc, des types utilisés pour les voitures de tourisme, y.c. les voitures du type 'break' et les voitures de course")</f>
        <v xml:space="preserve">   Pneumatiques rechapés, en caoutchouc, des types utilisés pour les voitures de tourisme, y.c. les voitures du type 'break' et les voitures de course</v>
      </c>
      <c r="C3077">
        <v>92765197</v>
      </c>
      <c r="D3077">
        <v>206062</v>
      </c>
    </row>
    <row r="3078" spans="1:4" x14ac:dyDescent="0.25">
      <c r="A3078" t="str">
        <f>T("   401212")</f>
        <v xml:space="preserve">   401212</v>
      </c>
      <c r="B3078" t="str">
        <f>T("   Pneumatiques rechapés, en caoutchouc, des types utilisés pour les autobus ou camions")</f>
        <v xml:space="preserve">   Pneumatiques rechapés, en caoutchouc, des types utilisés pour les autobus ou camions</v>
      </c>
      <c r="C3078">
        <v>13860222</v>
      </c>
      <c r="D3078">
        <v>24500</v>
      </c>
    </row>
    <row r="3079" spans="1:4" x14ac:dyDescent="0.25">
      <c r="A3079" t="str">
        <f>T("   401219")</f>
        <v xml:space="preserve">   401219</v>
      </c>
      <c r="B3079" t="str">
        <f>T("   Pneumatiques rechapés, en caoutchouc (à l'excl. des pneumatiques des types utilisés pour les voitures de tourisme, les voitures du type 'break', les voitures de course, les autobus, les camions ou les véhicules aériens)")</f>
        <v xml:space="preserve">   Pneumatiques rechapés, en caoutchouc (à l'excl. des pneumatiques des types utilisés pour les voitures de tourisme, les voitures du type 'break', les voitures de course, les autobus, les camions ou les véhicules aériens)</v>
      </c>
      <c r="C3079">
        <v>358154</v>
      </c>
      <c r="D3079">
        <v>1500</v>
      </c>
    </row>
    <row r="3080" spans="1:4" x14ac:dyDescent="0.25">
      <c r="A3080" t="str">
        <f>T("   401220")</f>
        <v xml:space="preserve">   401220</v>
      </c>
      <c r="B3080" t="str">
        <f>T("   Pneumatiques usagés, en caoutchouc")</f>
        <v xml:space="preserve">   Pneumatiques usagés, en caoutchouc</v>
      </c>
      <c r="C3080">
        <v>754308987</v>
      </c>
      <c r="D3080">
        <v>1853107</v>
      </c>
    </row>
    <row r="3081" spans="1:4" x14ac:dyDescent="0.25">
      <c r="A3081" t="str">
        <f>T("   401290")</f>
        <v xml:space="preserve">   401290</v>
      </c>
      <c r="B3081" t="str">
        <f>T("   Bandages pleins ou creux [mi-pleins], bandes de roulement amovibles pour pneumatiques et flaps, en caoutchouc")</f>
        <v xml:space="preserve">   Bandages pleins ou creux [mi-pleins], bandes de roulement amovibles pour pneumatiques et flaps, en caoutchouc</v>
      </c>
      <c r="C3081">
        <v>67141927</v>
      </c>
      <c r="D3081">
        <v>167839</v>
      </c>
    </row>
    <row r="3082" spans="1:4" x14ac:dyDescent="0.25">
      <c r="A3082" t="str">
        <f>T("   401310")</f>
        <v xml:space="preserve">   401310</v>
      </c>
      <c r="B3082" t="str">
        <f>T("   Chambres à air, en caoutchouc, des types utilisés pour les voitures de tourisme [y.c. les voitures du type 'break' et les voitures de course], les autobus ou les camions")</f>
        <v xml:space="preserve">   Chambres à air, en caoutchouc, des types utilisés pour les voitures de tourisme [y.c. les voitures du type 'break' et les voitures de course], les autobus ou les camions</v>
      </c>
      <c r="C3082">
        <v>6488391</v>
      </c>
      <c r="D3082">
        <v>12982</v>
      </c>
    </row>
    <row r="3083" spans="1:4" x14ac:dyDescent="0.25">
      <c r="A3083" t="str">
        <f>T("   401390")</f>
        <v xml:space="preserve">   401390</v>
      </c>
      <c r="B3083" t="str">
        <f>T("   Chambres à air, en caoutchouc (à l'excl. des chambres à air des types utilisés pour les voitures de tourisme, les voitures du type 'break', les voitures de course, les autobus, les camions et les bicyclettes)")</f>
        <v xml:space="preserve">   Chambres à air, en caoutchouc (à l'excl. des chambres à air des types utilisés pour les voitures de tourisme, les voitures du type 'break', les voitures de course, les autobus, les camions et les bicyclettes)</v>
      </c>
      <c r="C3083">
        <v>9128425</v>
      </c>
      <c r="D3083">
        <v>78557.56</v>
      </c>
    </row>
    <row r="3084" spans="1:4" x14ac:dyDescent="0.25">
      <c r="A3084" t="str">
        <f>T("   401410")</f>
        <v xml:space="preserve">   401410</v>
      </c>
      <c r="B3084" t="str">
        <f>T("   Préservatifs en caoutchouc vulcanisé non durci")</f>
        <v xml:space="preserve">   Préservatifs en caoutchouc vulcanisé non durci</v>
      </c>
      <c r="C3084">
        <v>291876</v>
      </c>
      <c r="D3084">
        <v>160</v>
      </c>
    </row>
    <row r="3085" spans="1:4" x14ac:dyDescent="0.25">
      <c r="A3085" t="str">
        <f>T("   401693")</f>
        <v xml:space="preserve">   401693</v>
      </c>
      <c r="B3085" t="str">
        <f>T("   Joints en caoutchouc vulcanisé non durci (à l'excl. des articles en caoutchouc alvéolaire)")</f>
        <v xml:space="preserve">   Joints en caoutchouc vulcanisé non durci (à l'excl. des articles en caoutchouc alvéolaire)</v>
      </c>
      <c r="C3085">
        <v>15920426</v>
      </c>
      <c r="D3085">
        <v>159.19999999999999</v>
      </c>
    </row>
    <row r="3086" spans="1:4" x14ac:dyDescent="0.25">
      <c r="A3086" t="str">
        <f>T("   401699")</f>
        <v xml:space="preserve">   401699</v>
      </c>
      <c r="B3086" t="str">
        <f>T("   OUVRAGES EN CAOUTCHOUC VULCANISÉ NON-DURCI, N.D.A.")</f>
        <v xml:space="preserve">   OUVRAGES EN CAOUTCHOUC VULCANISÉ NON-DURCI, N.D.A.</v>
      </c>
      <c r="C3086">
        <v>3745530</v>
      </c>
      <c r="D3086">
        <v>119</v>
      </c>
    </row>
    <row r="3087" spans="1:4" x14ac:dyDescent="0.25">
      <c r="A3087" t="str">
        <f>T("   420222")</f>
        <v xml:space="preserve">   420222</v>
      </c>
      <c r="B3087" t="str">
        <f>T("   Sacs à main, même à bandoulière, y.c. ceux sans poignée, à surface extérieure en feuilles de matières plastiques ou en matières textiles")</f>
        <v xml:space="preserve">   Sacs à main, même à bandoulière, y.c. ceux sans poignée, à surface extérieure en feuilles de matières plastiques ou en matières textiles</v>
      </c>
      <c r="C3087">
        <v>1134811</v>
      </c>
      <c r="D3087">
        <v>58</v>
      </c>
    </row>
    <row r="3088" spans="1:4" x14ac:dyDescent="0.25">
      <c r="A3088" t="str">
        <f>T("   420229")</f>
        <v xml:space="preserve">   420229</v>
      </c>
      <c r="B3088"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3088">
        <v>412599</v>
      </c>
      <c r="D3088">
        <v>2675</v>
      </c>
    </row>
    <row r="3089" spans="1:4" x14ac:dyDescent="0.25">
      <c r="A3089" t="str">
        <f>T("   420292")</f>
        <v xml:space="preserve">   420292</v>
      </c>
      <c r="B3089" t="s">
        <v>164</v>
      </c>
      <c r="C3089">
        <v>2077129</v>
      </c>
      <c r="D3089">
        <v>157</v>
      </c>
    </row>
    <row r="3090" spans="1:4" x14ac:dyDescent="0.25">
      <c r="A3090" t="str">
        <f>T("   420330")</f>
        <v xml:space="preserve">   420330</v>
      </c>
      <c r="B3090" t="str">
        <f>T("   Ceintures, ceinturons et baudriers, en cuir naturel ou reconstitué")</f>
        <v xml:space="preserve">   Ceintures, ceinturons et baudriers, en cuir naturel ou reconstitué</v>
      </c>
      <c r="C3090">
        <v>106265</v>
      </c>
      <c r="D3090">
        <v>150</v>
      </c>
    </row>
    <row r="3091" spans="1:4" x14ac:dyDescent="0.25">
      <c r="A3091" t="str">
        <f>T("   441119")</f>
        <v xml:space="preserve">   441119</v>
      </c>
      <c r="B3091" t="s">
        <v>177</v>
      </c>
      <c r="C3091">
        <v>20032763</v>
      </c>
      <c r="D3091">
        <v>98500</v>
      </c>
    </row>
    <row r="3092" spans="1:4" x14ac:dyDescent="0.25">
      <c r="A3092" t="str">
        <f>T("   441219")</f>
        <v xml:space="preserve">   441219</v>
      </c>
      <c r="B3092" t="s">
        <v>183</v>
      </c>
      <c r="C3092">
        <v>600860</v>
      </c>
      <c r="D3092">
        <v>700</v>
      </c>
    </row>
    <row r="3093" spans="1:4" x14ac:dyDescent="0.25">
      <c r="A3093" t="str">
        <f>T("   441810")</f>
        <v xml:space="preserve">   441810</v>
      </c>
      <c r="B3093" t="str">
        <f>T("   Fenêtres, portes-fenêtres et leurs cadres et chambranles, en bois")</f>
        <v xml:space="preserve">   Fenêtres, portes-fenêtres et leurs cadres et chambranles, en bois</v>
      </c>
      <c r="C3093">
        <v>860000</v>
      </c>
      <c r="D3093">
        <v>1488</v>
      </c>
    </row>
    <row r="3094" spans="1:4" x14ac:dyDescent="0.25">
      <c r="A3094" t="str">
        <f>T("   441820")</f>
        <v xml:space="preserve">   441820</v>
      </c>
      <c r="B3094" t="str">
        <f>T("   Portes et leurs cadres, chambranles et seuils, en bois")</f>
        <v xml:space="preserve">   Portes et leurs cadres, chambranles et seuils, en bois</v>
      </c>
      <c r="C3094">
        <v>2600068</v>
      </c>
      <c r="D3094">
        <v>6150</v>
      </c>
    </row>
    <row r="3095" spans="1:4" x14ac:dyDescent="0.25">
      <c r="A3095" t="str">
        <f>T("   442190")</f>
        <v xml:space="preserve">   442190</v>
      </c>
      <c r="B3095" t="str">
        <f>T("   Ouvrages, en bois, n.d.a.")</f>
        <v xml:space="preserve">   Ouvrages, en bois, n.d.a.</v>
      </c>
      <c r="C3095">
        <v>4658506</v>
      </c>
      <c r="D3095">
        <v>2916</v>
      </c>
    </row>
    <row r="3096" spans="1:4" x14ac:dyDescent="0.25">
      <c r="A3096" t="str">
        <f>T("   480300")</f>
        <v xml:space="preserve">   480300</v>
      </c>
      <c r="B3096" t="s">
        <v>198</v>
      </c>
      <c r="C3096">
        <v>79371</v>
      </c>
      <c r="D3096">
        <v>614</v>
      </c>
    </row>
    <row r="3097" spans="1:4" x14ac:dyDescent="0.25">
      <c r="A3097" t="str">
        <f>T("   480421")</f>
        <v xml:space="preserve">   480421</v>
      </c>
      <c r="B3097" t="str">
        <f>T("   PAPIERS KRAFT POUR SACS DE GRANDE CONTENANCE, ÉCRUS, NON-COUCHÉS NI ENDUITS, EN ROULEAUX D'UNE LARGEUR &gt; 36 CM (À L'EXCL. DES ARTICLES DU N° 4802, 4803 OU 4808)")</f>
        <v xml:space="preserve">   PAPIERS KRAFT POUR SACS DE GRANDE CONTENANCE, ÉCRUS, NON-COUCHÉS NI ENDUITS, EN ROULEAUX D'UNE LARGEUR &gt; 36 CM (À L'EXCL. DES ARTICLES DU N° 4802, 4803 OU 4808)</v>
      </c>
      <c r="C3097">
        <v>129462888</v>
      </c>
      <c r="D3097">
        <v>246424</v>
      </c>
    </row>
    <row r="3098" spans="1:4" x14ac:dyDescent="0.25">
      <c r="A3098" t="str">
        <f>T("   480920")</f>
        <v xml:space="preserve">   480920</v>
      </c>
      <c r="B3098" t="str">
        <f>T("   PAPIERS DITS 'AUTOCOPIANTS', MÊME IMPRIMÉS, EN ROULEAUX D'UNE LARGEUR &gt; 36 CM OU EN FEUILLES DE FORME CARRÉE OU RECTANGULAIRE DONT UN CÔTÉ AU MOINS &gt; 36 CM À L'ÉTAT NON-PLIÉ (À L'EXCL. DES PAPIERS CARBONE ET DES PAPIERS SIMIL.)")</f>
        <v xml:space="preserve">   PAPIERS DITS 'AUTOCOPIANTS', MÊME IMPRIMÉS, EN ROULEAUX D'UNE LARGEUR &gt; 36 CM OU EN FEUILLES DE FORME CARRÉE OU RECTANGULAIRE DONT UN CÔTÉ AU MOINS &gt; 36 CM À L'ÉTAT NON-PLIÉ (À L'EXCL. DES PAPIERS CARBONE ET DES PAPIERS SIMIL.)</v>
      </c>
      <c r="C3098">
        <v>10642295</v>
      </c>
      <c r="D3098">
        <v>14170</v>
      </c>
    </row>
    <row r="3099" spans="1:4" x14ac:dyDescent="0.25">
      <c r="A3099" t="str">
        <f>T("   481029")</f>
        <v xml:space="preserve">   481029</v>
      </c>
      <c r="B3099" t="s">
        <v>209</v>
      </c>
      <c r="C3099">
        <v>11227411</v>
      </c>
      <c r="D3099">
        <v>19938</v>
      </c>
    </row>
    <row r="3100" spans="1:4" x14ac:dyDescent="0.25">
      <c r="A3100" t="str">
        <f>T("   481200")</f>
        <v xml:space="preserve">   481200</v>
      </c>
      <c r="B3100" t="str">
        <f>T("   Blocs filtrants et plaques filtrantes, en pâte à papier")</f>
        <v xml:space="preserve">   Blocs filtrants et plaques filtrantes, en pâte à papier</v>
      </c>
      <c r="C3100">
        <v>3527097</v>
      </c>
      <c r="D3100">
        <v>386</v>
      </c>
    </row>
    <row r="3101" spans="1:4" x14ac:dyDescent="0.25">
      <c r="A3101" t="str">
        <f>T("   481690")</f>
        <v xml:space="preserve">   481690</v>
      </c>
      <c r="B3101" t="s">
        <v>215</v>
      </c>
      <c r="C3101">
        <v>1685254</v>
      </c>
      <c r="D3101">
        <v>546</v>
      </c>
    </row>
    <row r="3102" spans="1:4" x14ac:dyDescent="0.25">
      <c r="A3102" t="str">
        <f>T("   481820")</f>
        <v xml:space="preserve">   481820</v>
      </c>
      <c r="B3102" t="str">
        <f>T("   Mouchoirs, serviettes à démaquiller et essuie-mains, en pâte à papier, papier, ouate de cellulose ou nappes de fibres de cellulose")</f>
        <v xml:space="preserve">   Mouchoirs, serviettes à démaquiller et essuie-mains, en pâte à papier, papier, ouate de cellulose ou nappes de fibres de cellulose</v>
      </c>
      <c r="C3102">
        <v>460048</v>
      </c>
      <c r="D3102">
        <v>224</v>
      </c>
    </row>
    <row r="3103" spans="1:4" x14ac:dyDescent="0.25">
      <c r="A3103" t="str">
        <f>T("   481840")</f>
        <v xml:space="preserve">   481840</v>
      </c>
      <c r="B3103"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3103">
        <v>133678</v>
      </c>
      <c r="D3103">
        <v>50</v>
      </c>
    </row>
    <row r="3104" spans="1:4" x14ac:dyDescent="0.25">
      <c r="A3104" t="str">
        <f>T("   481920")</f>
        <v xml:space="preserve">   481920</v>
      </c>
      <c r="B3104" t="str">
        <f>T("   Boîtes et cartonnages, pliants, en papier ou en carton non ondulé")</f>
        <v xml:space="preserve">   Boîtes et cartonnages, pliants, en papier ou en carton non ondulé</v>
      </c>
      <c r="C3104">
        <v>57069</v>
      </c>
      <c r="D3104">
        <v>287</v>
      </c>
    </row>
    <row r="3105" spans="1:4" x14ac:dyDescent="0.25">
      <c r="A3105" t="str">
        <f>T("   481950")</f>
        <v xml:space="preserve">   481950</v>
      </c>
      <c r="B3105" t="s">
        <v>218</v>
      </c>
      <c r="C3105">
        <v>844221</v>
      </c>
      <c r="D3105">
        <v>3000</v>
      </c>
    </row>
    <row r="3106" spans="1:4" x14ac:dyDescent="0.25">
      <c r="A3106" t="str">
        <f>T("   481960")</f>
        <v xml:space="preserve">   481960</v>
      </c>
      <c r="B3106" t="str">
        <f>T("   Cartonnages de bureau, de magasin ou simil., rigides (à l'excl. des emballages)")</f>
        <v xml:space="preserve">   Cartonnages de bureau, de magasin ou simil., rigides (à l'excl. des emballages)</v>
      </c>
      <c r="C3106">
        <v>1062655</v>
      </c>
      <c r="D3106">
        <v>250</v>
      </c>
    </row>
    <row r="3107" spans="1:4" x14ac:dyDescent="0.25">
      <c r="A3107" t="str">
        <f>T("   482110")</f>
        <v xml:space="preserve">   482110</v>
      </c>
      <c r="B3107" t="str">
        <f>T("   ÉTIQUETTES DE TOUS GENRES, EN PAPIER OU EN CARTON, IMPRIMÉES")</f>
        <v xml:space="preserve">   ÉTIQUETTES DE TOUS GENRES, EN PAPIER OU EN CARTON, IMPRIMÉES</v>
      </c>
      <c r="C3107">
        <v>104256814</v>
      </c>
      <c r="D3107">
        <v>17064</v>
      </c>
    </row>
    <row r="3108" spans="1:4" x14ac:dyDescent="0.25">
      <c r="A3108" t="str">
        <f>T("   482340")</f>
        <v xml:space="preserve">   482340</v>
      </c>
      <c r="B3108" t="str">
        <f>T("   Papiers à diagrammes pour appareils enregistreurs, en bobines d'une largeur &lt;= 36 cm ou en feuilles de forme carrée ou rectangulaire dont aucun côté &gt; 36 cm à l'état non plié, ou découpés en disques")</f>
        <v xml:space="preserve">   Papiers à diagrammes pour appareils enregistreurs, en bobines d'une largeur &lt;= 36 cm ou en feuilles de forme carrée ou rectangulaire dont aucun côté &gt; 36 cm à l'état non plié, ou découpés en disques</v>
      </c>
      <c r="C3108">
        <v>4102583</v>
      </c>
      <c r="D3108">
        <v>7356</v>
      </c>
    </row>
    <row r="3109" spans="1:4" x14ac:dyDescent="0.25">
      <c r="A3109" t="str">
        <f>T("   490199")</f>
        <v xml:space="preserve">   490199</v>
      </c>
      <c r="B3109"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3109">
        <v>14643065</v>
      </c>
      <c r="D3109">
        <v>9844</v>
      </c>
    </row>
    <row r="3110" spans="1:4" x14ac:dyDescent="0.25">
      <c r="A3110" t="str">
        <f>T("   490591")</f>
        <v xml:space="preserve">   490591</v>
      </c>
      <c r="B3110" t="str">
        <f>T("   Ouvrages cartographiques de tous genres, y.c. les plans topographiques, imprimés, sous forme de livres ou de brochures (à l'excl. des globes ainsi que des cartes et plans en relief)")</f>
        <v xml:space="preserve">   Ouvrages cartographiques de tous genres, y.c. les plans topographiques, imprimés, sous forme de livres ou de brochures (à l'excl. des globes ainsi que des cartes et plans en relief)</v>
      </c>
      <c r="C3110">
        <v>300000</v>
      </c>
      <c r="D3110">
        <v>190</v>
      </c>
    </row>
    <row r="3111" spans="1:4" x14ac:dyDescent="0.25">
      <c r="A3111" t="str">
        <f>T("   491000")</f>
        <v xml:space="preserve">   491000</v>
      </c>
      <c r="B3111" t="str">
        <f>T("   Calendriers de tous genres, imprimés, y.c. les blocs de calendriers à effeuiller")</f>
        <v xml:space="preserve">   Calendriers de tous genres, imprimés, y.c. les blocs de calendriers à effeuiller</v>
      </c>
      <c r="C3111">
        <v>395943</v>
      </c>
      <c r="D3111">
        <v>873.7</v>
      </c>
    </row>
    <row r="3112" spans="1:4" x14ac:dyDescent="0.25">
      <c r="A3112" t="str">
        <f>T("   491110")</f>
        <v xml:space="preserve">   491110</v>
      </c>
      <c r="B3112" t="str">
        <f>T("   Imprimés publicitaires, catalogues commerciaux et simil.")</f>
        <v xml:space="preserve">   Imprimés publicitaires, catalogues commerciaux et simil.</v>
      </c>
      <c r="C3112">
        <v>3930032</v>
      </c>
      <c r="D3112">
        <v>2137</v>
      </c>
    </row>
    <row r="3113" spans="1:4" x14ac:dyDescent="0.25">
      <c r="A3113" t="str">
        <f>T("   491199")</f>
        <v xml:space="preserve">   491199</v>
      </c>
      <c r="B3113" t="str">
        <f>T("   Imprimés, n.d.a.")</f>
        <v xml:space="preserve">   Imprimés, n.d.a.</v>
      </c>
      <c r="C3113">
        <v>371273</v>
      </c>
      <c r="D3113">
        <v>13</v>
      </c>
    </row>
    <row r="3114" spans="1:4" x14ac:dyDescent="0.25">
      <c r="A3114" t="str">
        <f>T("   520819")</f>
        <v xml:space="preserve">   520819</v>
      </c>
      <c r="B3114" t="str">
        <f>T("   Tissus de coton, écrus, contenant &gt;= 85% en poids de coton, d'un poids &lt;= 200 g/m² (à l'excl. des tissus à armure toile ou à armure sergé [y.c. le croisé] d'un rapport d'armure &lt;= 4)")</f>
        <v xml:space="preserve">   Tissus de coton, écrus, contenant &gt;= 85% en poids de coton, d'un poids &lt;= 200 g/m² (à l'excl. des tissus à armure toile ou à armure sergé [y.c. le croisé] d'un rapport d'armure &lt;= 4)</v>
      </c>
      <c r="C3114">
        <v>340443</v>
      </c>
      <c r="D3114">
        <v>1300</v>
      </c>
    </row>
    <row r="3115" spans="1:4" x14ac:dyDescent="0.25">
      <c r="A3115" t="str">
        <f>T("   520852")</f>
        <v xml:space="preserve">   520852</v>
      </c>
      <c r="B3115" t="str">
        <f>T("   Tissus de coton, imprimés, à armure toile, contenant &gt;= 85% en poids de coton, d'un poids &gt; 100 g/m² mais &lt;= 200 g/m²")</f>
        <v xml:space="preserve">   Tissus de coton, imprimés, à armure toile, contenant &gt;= 85% en poids de coton, d'un poids &gt; 100 g/m² mais &lt;= 200 g/m²</v>
      </c>
      <c r="C3115">
        <v>2385475</v>
      </c>
      <c r="D3115">
        <v>3614</v>
      </c>
    </row>
    <row r="3116" spans="1:4" x14ac:dyDescent="0.25">
      <c r="A3116" t="str">
        <f>T("   540110")</f>
        <v xml:space="preserve">   540110</v>
      </c>
      <c r="B3116" t="str">
        <f>T("   Fils à coudre de filaments synthétiques, même conditionnés pour la vente au détail")</f>
        <v xml:space="preserve">   Fils à coudre de filaments synthétiques, même conditionnés pour la vente au détail</v>
      </c>
      <c r="C3116">
        <v>193508</v>
      </c>
      <c r="D3116">
        <v>100</v>
      </c>
    </row>
    <row r="3117" spans="1:4" x14ac:dyDescent="0.25">
      <c r="A3117" t="str">
        <f>T("   540741")</f>
        <v xml:space="preserve">   540741</v>
      </c>
      <c r="B3117" t="str">
        <f>T("   Tissus, écrus ou blanchis, obtenus à partir de fils contenant &gt;= 85% en poids de filaments de nylon ou d'autres polyamides, y.c. les tissus obtenus à partir des monofilaments du n° 5404")</f>
        <v xml:space="preserve">   Tissus, écrus ou blanchis, obtenus à partir de fils contenant &gt;= 85% en poids de filaments de nylon ou d'autres polyamides, y.c. les tissus obtenus à partir des monofilaments du n° 5404</v>
      </c>
      <c r="C3117">
        <v>390328</v>
      </c>
      <c r="D3117">
        <v>135</v>
      </c>
    </row>
    <row r="3118" spans="1:4" x14ac:dyDescent="0.25">
      <c r="A3118" t="str">
        <f>T("   540774")</f>
        <v xml:space="preserve">   540774</v>
      </c>
      <c r="B3118" t="s">
        <v>229</v>
      </c>
      <c r="C3118">
        <v>6942242</v>
      </c>
      <c r="D3118">
        <v>13622</v>
      </c>
    </row>
    <row r="3119" spans="1:4" x14ac:dyDescent="0.25">
      <c r="A3119" t="str">
        <f>T("   551421")</f>
        <v xml:space="preserve">   551421</v>
      </c>
      <c r="B3119" t="str">
        <f>T("   Tissus, teints, de fibres discontinues de polyester, contenant en prédominance, mais &lt; 85% en poids de ces fibres, mélangés principalement ou uniquement avec du coton, à armure toile, d'un poids &gt; 170 g/m²")</f>
        <v xml:space="preserve">   Tissus, teints, de fibres discontinues de polyester, contenant en prédominance, mais &lt; 85% en poids de ces fibres, mélangés principalement ou uniquement avec du coton, à armure toile, d'un poids &gt; 170 g/m²</v>
      </c>
      <c r="C3119">
        <v>26148082</v>
      </c>
      <c r="D3119">
        <v>33668</v>
      </c>
    </row>
    <row r="3120" spans="1:4" x14ac:dyDescent="0.25">
      <c r="A3120" t="str">
        <f>T("   551431")</f>
        <v xml:space="preserve">   551431</v>
      </c>
      <c r="B3120" t="str">
        <f>T("   Tissus en fils de diverses couleurs, en fibres discontinues de polyester, contenant en prédominance, mais &lt; 85% en poids de ces fibres, mélangés principalement ou uniquement avec du coton, à armure toile, d'un poids &gt; 170 g/m²")</f>
        <v xml:space="preserve">   Tissus en fils de diverses couleurs, en fibres discontinues de polyester, contenant en prédominance, mais &lt; 85% en poids de ces fibres, mélangés principalement ou uniquement avec du coton, à armure toile, d'un poids &gt; 170 g/m²</v>
      </c>
      <c r="C3120">
        <v>5820299</v>
      </c>
      <c r="D3120">
        <v>9980</v>
      </c>
    </row>
    <row r="3121" spans="1:4" x14ac:dyDescent="0.25">
      <c r="A3121" t="str">
        <f>T("   551519")</f>
        <v xml:space="preserve">   551519</v>
      </c>
      <c r="B3121" t="s">
        <v>239</v>
      </c>
      <c r="C3121">
        <v>301446381</v>
      </c>
      <c r="D3121">
        <v>504194.14</v>
      </c>
    </row>
    <row r="3122" spans="1:4" x14ac:dyDescent="0.25">
      <c r="A3122" t="str">
        <f>T("   570190")</f>
        <v xml:space="preserve">   570190</v>
      </c>
      <c r="B3122" t="str">
        <f>T("   Tapis en matières textiles, à points noués ou enroulés, même confectionnés (à l'excl. des tapis de laine ou de poils fins)")</f>
        <v xml:space="preserve">   Tapis en matières textiles, à points noués ou enroulés, même confectionnés (à l'excl. des tapis de laine ou de poils fins)</v>
      </c>
      <c r="C3122">
        <v>646120</v>
      </c>
      <c r="D3122">
        <v>500</v>
      </c>
    </row>
    <row r="3123" spans="1:4" x14ac:dyDescent="0.25">
      <c r="A3123" t="str">
        <f>T("   570390")</f>
        <v xml:space="preserve">   570390</v>
      </c>
      <c r="B3123" t="str">
        <f>T("   Tapis et autres revêtements de sol, de matières textiles végétales ou de poils grossiers, touffetés, même confectionnés")</f>
        <v xml:space="preserve">   Tapis et autres revêtements de sol, de matières textiles végétales ou de poils grossiers, touffetés, même confectionnés</v>
      </c>
      <c r="C3123">
        <v>3203053</v>
      </c>
      <c r="D3123">
        <v>5982</v>
      </c>
    </row>
    <row r="3124" spans="1:4" x14ac:dyDescent="0.25">
      <c r="A3124" t="str">
        <f>T("   570500")</f>
        <v xml:space="preserve">   570500</v>
      </c>
      <c r="B3124" t="str">
        <f>T("   Tapis et autres revêtements de sol en matières textiles, même confectionnés (à l'excl. à points noués ou enroulés, tissés, touffetés ou en feutre)")</f>
        <v xml:space="preserve">   Tapis et autres revêtements de sol en matières textiles, même confectionnés (à l'excl. à points noués ou enroulés, tissés, touffetés ou en feutre)</v>
      </c>
      <c r="C3124">
        <v>132938</v>
      </c>
      <c r="D3124">
        <v>600</v>
      </c>
    </row>
    <row r="3125" spans="1:4" x14ac:dyDescent="0.25">
      <c r="A3125" t="str">
        <f>T("   610349")</f>
        <v xml:space="preserve">   610349</v>
      </c>
      <c r="B3125" t="str">
        <f>T("   PANTALONS, Y.C. KNICKERS ET PANTALONS SIMIL., SALOPETTES À BRETELLES, CULOTTES ET SHORTS, EN BONNETERIE, DE MATIÈRES TEXTILES, POUR HOMMES OU GARÇONNETS (SAUF DE LAINE, POILS FINS, COTON OU FIBRES SYNTHÉTIQUES ET SAUF CALETHONS ET SLIPS DE BAIN)")</f>
        <v xml:space="preserve">   PANTALONS, Y.C. KNICKERS ET PANTALONS SIMIL., SALOPETTES À BRETELLES, CULOTTES ET SHORTS, EN BONNETERIE, DE MATIÈRES TEXTILES, POUR HOMMES OU GARÇONNETS (SAUF DE LAINE, POILS FINS, COTON OU FIBRES SYNTHÉTIQUES ET SAUF CALETHONS ET SLIPS DE BAIN)</v>
      </c>
      <c r="C3125">
        <v>450645</v>
      </c>
      <c r="D3125">
        <v>1400</v>
      </c>
    </row>
    <row r="3126" spans="1:4" x14ac:dyDescent="0.25">
      <c r="A3126" t="str">
        <f>T("   610590")</f>
        <v xml:space="preserve">   610590</v>
      </c>
      <c r="B3126" t="str">
        <f>T("   Chemises et chemisettes, en bonneterie, de matières textiles, pour hommes ou garçonnets (sauf de coton, fibres synthétiques ou artificielles et sauf chemises de nuit, T-shirts et maillots de corps)")</f>
        <v xml:space="preserve">   Chemises et chemisettes, en bonneterie, de matières textiles, pour hommes ou garçonnets (sauf de coton, fibres synthétiques ou artificielles et sauf chemises de nuit, T-shirts et maillots de corps)</v>
      </c>
      <c r="C3126">
        <v>42637</v>
      </c>
      <c r="D3126">
        <v>50</v>
      </c>
    </row>
    <row r="3127" spans="1:4" x14ac:dyDescent="0.25">
      <c r="A3127" t="str">
        <f>T("   610910")</f>
        <v xml:space="preserve">   610910</v>
      </c>
      <c r="B3127" t="str">
        <f>T("   T-shirts et maillots de corps, en bonneterie, de coton,")</f>
        <v xml:space="preserve">   T-shirts et maillots de corps, en bonneterie, de coton,</v>
      </c>
      <c r="C3127">
        <v>90523</v>
      </c>
      <c r="D3127">
        <v>21</v>
      </c>
    </row>
    <row r="3128" spans="1:4" x14ac:dyDescent="0.25">
      <c r="A3128" t="str">
        <f>T("   610990")</f>
        <v xml:space="preserve">   610990</v>
      </c>
      <c r="B3128" t="str">
        <f>T("   T-shirts et maillots de corps, en bonneterie, de matières textiles (sauf de coton)")</f>
        <v xml:space="preserve">   T-shirts et maillots de corps, en bonneterie, de matières textiles (sauf de coton)</v>
      </c>
      <c r="C3128">
        <v>139065</v>
      </c>
      <c r="D3128">
        <v>25</v>
      </c>
    </row>
    <row r="3129" spans="1:4" x14ac:dyDescent="0.25">
      <c r="A3129" t="str">
        <f>T("   611190")</f>
        <v xml:space="preserve">   611190</v>
      </c>
      <c r="B3129" t="str">
        <f>T("   VÊTEMENTS ET ACCESSOIRES DU VÊTEMENT, EN BONNETERIE, DE MATIÈRES TEXTILES, POUR BÉBÉS (SAUF DE COTON, FIBRES SYNTHÉTIQUES ET SAUF BONNETS)")</f>
        <v xml:space="preserve">   VÊTEMENTS ET ACCESSOIRES DU VÊTEMENT, EN BONNETERIE, DE MATIÈRES TEXTILES, POUR BÉBÉS (SAUF DE COTON, FIBRES SYNTHÉTIQUES ET SAUF BONNETS)</v>
      </c>
      <c r="C3129">
        <v>688430</v>
      </c>
      <c r="D3129">
        <v>903</v>
      </c>
    </row>
    <row r="3130" spans="1:4" x14ac:dyDescent="0.25">
      <c r="A3130" t="str">
        <f>T("   620520")</f>
        <v xml:space="preserve">   620520</v>
      </c>
      <c r="B3130" t="str">
        <f>T("   Chemises et chemisettes, de coton, pour hommes ou garçonnets (autres qu'en bonneterie et sauf chemises de nuit et gilets de corps)")</f>
        <v xml:space="preserve">   Chemises et chemisettes, de coton, pour hommes ou garçonnets (autres qu'en bonneterie et sauf chemises de nuit et gilets de corps)</v>
      </c>
      <c r="C3130">
        <v>700000</v>
      </c>
      <c r="D3130">
        <v>400</v>
      </c>
    </row>
    <row r="3131" spans="1:4" x14ac:dyDescent="0.25">
      <c r="A3131" t="str">
        <f>T("   620590")</f>
        <v xml:space="preserve">   620590</v>
      </c>
      <c r="B3131"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3131">
        <v>3213990</v>
      </c>
      <c r="D3131">
        <v>3220</v>
      </c>
    </row>
    <row r="3132" spans="1:4" x14ac:dyDescent="0.25">
      <c r="A3132" t="str">
        <f>T("   621040")</f>
        <v xml:space="preserve">   621040</v>
      </c>
      <c r="B3132" t="s">
        <v>271</v>
      </c>
      <c r="C3132">
        <v>659011</v>
      </c>
      <c r="D3132">
        <v>4498</v>
      </c>
    </row>
    <row r="3133" spans="1:4" x14ac:dyDescent="0.25">
      <c r="A3133" t="str">
        <f>T("   621050")</f>
        <v xml:space="preserve">   621050</v>
      </c>
      <c r="B3133" t="s">
        <v>272</v>
      </c>
      <c r="C3133">
        <v>18399238</v>
      </c>
      <c r="D3133">
        <v>5348</v>
      </c>
    </row>
    <row r="3134" spans="1:4" x14ac:dyDescent="0.25">
      <c r="A3134" t="str">
        <f>T("   621111")</f>
        <v xml:space="preserve">   621111</v>
      </c>
      <c r="B3134" t="str">
        <f>T("   Maillots, culottes et slips de bain, pour hommes ou garçonnets (autres qu'en bonneterie)")</f>
        <v xml:space="preserve">   Maillots, culottes et slips de bain, pour hommes ou garçonnets (autres qu'en bonneterie)</v>
      </c>
      <c r="C3134">
        <v>137096</v>
      </c>
      <c r="D3134">
        <v>83.9</v>
      </c>
    </row>
    <row r="3135" spans="1:4" x14ac:dyDescent="0.25">
      <c r="A3135" t="str">
        <f>T("   621139")</f>
        <v xml:space="preserve">   621139</v>
      </c>
      <c r="B3135" t="str">
        <f>T("   Survêtements de sport 'trainings' et autres vêtements n.d.a., de matières textiles, pour hommes ou garçonnets (autres que de laine, poils fins, coton, fibres synthétiques ou artificielles, autres qu'en bonneterie)")</f>
        <v xml:space="preserve">   Survêtements de sport 'trainings' et autres vêtements n.d.a., de matières textiles, pour hommes ou garçonnets (autres que de laine, poils fins, coton, fibres synthétiques ou artificielles, autres qu'en bonneterie)</v>
      </c>
      <c r="C3135">
        <v>81995</v>
      </c>
      <c r="D3135">
        <v>565</v>
      </c>
    </row>
    <row r="3136" spans="1:4" x14ac:dyDescent="0.25">
      <c r="A3136" t="str">
        <f>T("   630260")</f>
        <v xml:space="preserve">   630260</v>
      </c>
      <c r="B3136" t="str">
        <f>T("   Linge de toilette ou de cuisine, bouclé du genre éponge, de coton (sauf serpillières, chiffons à parquet, lavettes et chamoisettes)")</f>
        <v xml:space="preserve">   Linge de toilette ou de cuisine, bouclé du genre éponge, de coton (sauf serpillières, chiffons à parquet, lavettes et chamoisettes)</v>
      </c>
      <c r="C3136">
        <v>17711</v>
      </c>
      <c r="D3136">
        <v>6</v>
      </c>
    </row>
    <row r="3137" spans="1:4" x14ac:dyDescent="0.25">
      <c r="A3137" t="str">
        <f>T("   630619")</f>
        <v xml:space="preserve">   630619</v>
      </c>
      <c r="B3137" t="str">
        <f>T("   Bâches et stores d'extérieur de matières textiles (autres que de coton ou fibres synthétiques et sauf auvents plats en tissus légers, confectionnés selon le type de bâche)")</f>
        <v xml:space="preserve">   Bâches et stores d'extérieur de matières textiles (autres que de coton ou fibres synthétiques et sauf auvents plats en tissus légers, confectionnés selon le type de bâche)</v>
      </c>
      <c r="C3137">
        <v>881921</v>
      </c>
      <c r="D3137">
        <v>567</v>
      </c>
    </row>
    <row r="3138" spans="1:4" x14ac:dyDescent="0.25">
      <c r="A3138" t="str">
        <f>T("   630790")</f>
        <v xml:space="preserve">   630790</v>
      </c>
      <c r="B3138" t="str">
        <f>T("   Articles de matières textiles, confectionnés, y.c. les patrons de vêtements n.d.a.")</f>
        <v xml:space="preserve">   Articles de matières textiles, confectionnés, y.c. les patrons de vêtements n.d.a.</v>
      </c>
      <c r="C3138">
        <v>186293</v>
      </c>
      <c r="D3138">
        <v>10</v>
      </c>
    </row>
    <row r="3139" spans="1:4" x14ac:dyDescent="0.25">
      <c r="A3139" t="str">
        <f>T("   630900")</f>
        <v xml:space="preserve">   630900</v>
      </c>
      <c r="B3139" t="s">
        <v>278</v>
      </c>
      <c r="C3139">
        <v>716707284</v>
      </c>
      <c r="D3139">
        <v>1476564</v>
      </c>
    </row>
    <row r="3140" spans="1:4" x14ac:dyDescent="0.25">
      <c r="A3140" t="str">
        <f>T("   640590")</f>
        <v xml:space="preserve">   640590</v>
      </c>
      <c r="B3140" t="s">
        <v>289</v>
      </c>
      <c r="C3140">
        <v>7121255</v>
      </c>
      <c r="D3140">
        <v>15575</v>
      </c>
    </row>
    <row r="3141" spans="1:4" x14ac:dyDescent="0.25">
      <c r="A3141" t="str">
        <f>T("   640620")</f>
        <v xml:space="preserve">   640620</v>
      </c>
      <c r="B3141" t="str">
        <f>T("   Semelles extérieures et talons de chaussures, en caoutchouc ou en matière plastique")</f>
        <v xml:space="preserve">   Semelles extérieures et talons de chaussures, en caoutchouc ou en matière plastique</v>
      </c>
      <c r="C3141">
        <v>541167</v>
      </c>
      <c r="D3141">
        <v>931</v>
      </c>
    </row>
    <row r="3142" spans="1:4" x14ac:dyDescent="0.25">
      <c r="A3142" t="str">
        <f>T("   650590")</f>
        <v xml:space="preserve">   650590</v>
      </c>
      <c r="B3142" t="s">
        <v>290</v>
      </c>
      <c r="C3142">
        <v>45918</v>
      </c>
      <c r="D3142">
        <v>9</v>
      </c>
    </row>
    <row r="3143" spans="1:4" x14ac:dyDescent="0.25">
      <c r="A3143" t="str">
        <f>T("   650610")</f>
        <v xml:space="preserve">   650610</v>
      </c>
      <c r="B3143" t="str">
        <f>T("   Coiffures de sécurité, même garnies")</f>
        <v xml:space="preserve">   Coiffures de sécurité, même garnies</v>
      </c>
      <c r="C3143">
        <v>2598</v>
      </c>
      <c r="D3143">
        <v>4</v>
      </c>
    </row>
    <row r="3144" spans="1:4" x14ac:dyDescent="0.25">
      <c r="A3144" t="str">
        <f>T("   660199")</f>
        <v xml:space="preserve">   660199</v>
      </c>
      <c r="B3144" t="str">
        <f>T("   Parapluies, y.c. les parapluies-cannes et ombrelles (sauf parapluies et ombrelles à mât ou à manche télescopique, parasols de jardin et articles simil. et sauf jouets d'enfants)")</f>
        <v xml:space="preserve">   Parapluies, y.c. les parapluies-cannes et ombrelles (sauf parapluies et ombrelles à mât ou à manche télescopique, parasols de jardin et articles simil. et sauf jouets d'enfants)</v>
      </c>
      <c r="C3144">
        <v>568718</v>
      </c>
      <c r="D3144">
        <v>240</v>
      </c>
    </row>
    <row r="3145" spans="1:4" x14ac:dyDescent="0.25">
      <c r="A3145" t="str">
        <f>T("   680410")</f>
        <v xml:space="preserve">   680410</v>
      </c>
      <c r="B3145" t="str">
        <f>T("   Meules à moudre ou à défibrer (sans bâtis), en pierres naturelles, en abrasifs naturels ou artificiels agglomérés ou en céramique")</f>
        <v xml:space="preserve">   Meules à moudre ou à défibrer (sans bâtis), en pierres naturelles, en abrasifs naturels ou artificiels agglomérés ou en céramique</v>
      </c>
      <c r="C3145">
        <v>2165868</v>
      </c>
      <c r="D3145">
        <v>1061</v>
      </c>
    </row>
    <row r="3146" spans="1:4" x14ac:dyDescent="0.25">
      <c r="A3146" t="str">
        <f>T("   680421")</f>
        <v xml:space="preserve">   680421</v>
      </c>
      <c r="B3146" t="s">
        <v>297</v>
      </c>
      <c r="C3146">
        <v>204003</v>
      </c>
      <c r="D3146">
        <v>429</v>
      </c>
    </row>
    <row r="3147" spans="1:4" x14ac:dyDescent="0.25">
      <c r="A3147" t="str">
        <f>T("   680422")</f>
        <v xml:space="preserve">   680422</v>
      </c>
      <c r="B3147" t="s">
        <v>298</v>
      </c>
      <c r="C3147">
        <v>2404749</v>
      </c>
      <c r="D3147">
        <v>751</v>
      </c>
    </row>
    <row r="3148" spans="1:4" x14ac:dyDescent="0.25">
      <c r="A3148" t="str">
        <f>T("   680430")</f>
        <v xml:space="preserve">   680430</v>
      </c>
      <c r="B3148" t="str">
        <f>T("   Pierres à aiguiser ou à polir à la main")</f>
        <v xml:space="preserve">   Pierres à aiguiser ou à polir à la main</v>
      </c>
      <c r="C3148">
        <v>762214</v>
      </c>
      <c r="D3148">
        <v>315</v>
      </c>
    </row>
    <row r="3149" spans="1:4" x14ac:dyDescent="0.25">
      <c r="A3149" t="str">
        <f>T("   690510")</f>
        <v xml:space="preserve">   690510</v>
      </c>
      <c r="B3149" t="str">
        <f>T("   Tuiles")</f>
        <v xml:space="preserve">   Tuiles</v>
      </c>
      <c r="C3149">
        <v>257136</v>
      </c>
      <c r="D3149">
        <v>450</v>
      </c>
    </row>
    <row r="3150" spans="1:4" x14ac:dyDescent="0.25">
      <c r="A3150" t="str">
        <f>T("   690790")</f>
        <v xml:space="preserve">   690790</v>
      </c>
      <c r="B3150" t="s">
        <v>310</v>
      </c>
      <c r="C3150">
        <v>300430</v>
      </c>
      <c r="D3150">
        <v>500</v>
      </c>
    </row>
    <row r="3151" spans="1:4" x14ac:dyDescent="0.25">
      <c r="A3151" t="str">
        <f>T("   690810")</f>
        <v xml:space="preserve">   690810</v>
      </c>
      <c r="B3151" t="str">
        <f>T("   Carreaux, cubes, dés et simil., en céramique, pour mosaïques, vernissés ou émaillés, même de forme autre que carrée ou rectangulaire, dont la plus grande surface peut être inscrite dans un carré de côté &lt; 7 cm, même sur support")</f>
        <v xml:space="preserve">   Carreaux, cubes, dés et simil., en céramique, pour mosaïques, vernissés ou émaillés, même de forme autre que carrée ou rectangulaire, dont la plus grande surface peut être inscrite dans un carré de côté &lt; 7 cm, même sur support</v>
      </c>
      <c r="C3151">
        <v>1030603</v>
      </c>
      <c r="D3151">
        <v>2500</v>
      </c>
    </row>
    <row r="3152" spans="1:4" x14ac:dyDescent="0.25">
      <c r="A3152" t="str">
        <f>T("   691010")</f>
        <v xml:space="preserve">   691010</v>
      </c>
      <c r="B3152" t="s">
        <v>312</v>
      </c>
      <c r="C3152">
        <v>714996</v>
      </c>
      <c r="D3152">
        <v>230</v>
      </c>
    </row>
    <row r="3153" spans="1:4" x14ac:dyDescent="0.25">
      <c r="A3153" t="str">
        <f>T("   700510")</f>
        <v xml:space="preserve">   700510</v>
      </c>
      <c r="B3153" t="str">
        <f>T("   PLAQUES OU FEUILLES EN GLACE [VERRE FLOTTÉ ET VERRE DOUCI OU POLI SUR UNE OU DEUX FACES], À COUCHE ABSORBANTE, RÉFLÉCHISSANTE OU NON-RÉFLÉCHISSANTE, MAIS NON AUTREMENT TRAVAILLÉE (SAUF ARMÉE)")</f>
        <v xml:space="preserve">   PLAQUES OU FEUILLES EN GLACE [VERRE FLOTTÉ ET VERRE DOUCI OU POLI SUR UNE OU DEUX FACES], À COUCHE ABSORBANTE, RÉFLÉCHISSANTE OU NON-RÉFLÉCHISSANTE, MAIS NON AUTREMENT TRAVAILLÉE (SAUF ARMÉE)</v>
      </c>
      <c r="C3153">
        <v>3023287</v>
      </c>
      <c r="D3153">
        <v>13230</v>
      </c>
    </row>
    <row r="3154" spans="1:4" x14ac:dyDescent="0.25">
      <c r="A3154" t="str">
        <f>T("   700521")</f>
        <v xml:space="preserve">   700521</v>
      </c>
      <c r="B3154" t="s">
        <v>317</v>
      </c>
      <c r="C3154">
        <v>6413604</v>
      </c>
      <c r="D3154">
        <v>25300</v>
      </c>
    </row>
    <row r="3155" spans="1:4" x14ac:dyDescent="0.25">
      <c r="A3155" t="str">
        <f>T("   700529")</f>
        <v xml:space="preserve">   700529</v>
      </c>
      <c r="B3155" t="s">
        <v>318</v>
      </c>
      <c r="C3155">
        <v>6379428</v>
      </c>
      <c r="D3155">
        <v>24000</v>
      </c>
    </row>
    <row r="3156" spans="1:4" x14ac:dyDescent="0.25">
      <c r="A3156" t="str">
        <f>T("   700729")</f>
        <v xml:space="preserve">   700729</v>
      </c>
      <c r="B3156" t="s">
        <v>322</v>
      </c>
      <c r="C3156">
        <v>864555</v>
      </c>
      <c r="D3156">
        <v>15</v>
      </c>
    </row>
    <row r="3157" spans="1:4" x14ac:dyDescent="0.25">
      <c r="A3157" t="str">
        <f>T("   700991")</f>
        <v xml:space="preserve">   700991</v>
      </c>
      <c r="B3157" t="str">
        <f>T("   Miroirs en verre non encadrés (sauf miroirs rétroviseurs pour véhicules, miroirs optiques, optiquement travaillés et miroirs de plus de 100 ans)")</f>
        <v xml:space="preserve">   Miroirs en verre non encadrés (sauf miroirs rétroviseurs pour véhicules, miroirs optiques, optiquement travaillés et miroirs de plus de 100 ans)</v>
      </c>
      <c r="C3157">
        <v>2578684</v>
      </c>
      <c r="D3157">
        <v>8268</v>
      </c>
    </row>
    <row r="3158" spans="1:4" x14ac:dyDescent="0.25">
      <c r="A3158" t="str">
        <f>T("   701090")</f>
        <v xml:space="preserve">   701090</v>
      </c>
      <c r="B3158" t="s">
        <v>323</v>
      </c>
      <c r="C3158">
        <v>60617921</v>
      </c>
      <c r="D3158">
        <v>101666</v>
      </c>
    </row>
    <row r="3159" spans="1:4" x14ac:dyDescent="0.25">
      <c r="A3159" t="str">
        <f>T("   701790")</f>
        <v xml:space="preserve">   701790</v>
      </c>
      <c r="B3159" t="s">
        <v>337</v>
      </c>
      <c r="C3159">
        <v>1741139</v>
      </c>
      <c r="D3159">
        <v>55</v>
      </c>
    </row>
    <row r="3160" spans="1:4" x14ac:dyDescent="0.25">
      <c r="A3160" t="str">
        <f>T("   720839")</f>
        <v xml:space="preserve">   720839</v>
      </c>
      <c r="B3160" t="str">
        <f>T("   PRODUITS LAMINÉS PLATS, EN FER OU EN ACIERS NON ALLIÉS, D'UNE LARGEUR &gt;= 600 MM, ENROULÉS, SIMPLEMENT LAMINÉS À CHAUD, NON PLAQUÉS NI REVÊTUS, ÉPAISSEUR &lt; 3 MM (SANS MOTIFS EN RELIEF, ET AUTRES QUE DÉCAPÉS)")</f>
        <v xml:space="preserve">   PRODUITS LAMINÉS PLATS, EN FER OU EN ACIERS NON ALLIÉS, D'UNE LARGEUR &gt;= 600 MM, ENROULÉS, SIMPLEMENT LAMINÉS À CHAUD, NON PLAQUÉS NI REVÊTUS, ÉPAISSEUR &lt; 3 MM (SANS MOTIFS EN RELIEF, ET AUTRES QUE DÉCAPÉS)</v>
      </c>
      <c r="C3160">
        <v>200341334</v>
      </c>
      <c r="D3160">
        <v>457780</v>
      </c>
    </row>
    <row r="3161" spans="1:4" x14ac:dyDescent="0.25">
      <c r="A3161" t="str">
        <f>T("   720890")</f>
        <v xml:space="preserve">   720890</v>
      </c>
      <c r="B3161" t="str">
        <f>T("   PRODUITS LAMINÉS PLATS, EN FER OU EN ACIER, D'UNE LARGEUR &gt;= 600 MM, LAMINÉS À CHAUD ET AYANT SUBI CERTAINES OUVRAISONS PLUS POUSSÉES, MAIS NON-PLAQUÉS NI REVÊTUS")</f>
        <v xml:space="preserve">   PRODUITS LAMINÉS PLATS, EN FER OU EN ACIER, D'UNE LARGEUR &gt;= 600 MM, LAMINÉS À CHAUD ET AYANT SUBI CERTAINES OUVRAISONS PLUS POUSSÉES, MAIS NON-PLAQUÉS NI REVÊTUS</v>
      </c>
      <c r="C3161">
        <v>3106627</v>
      </c>
      <c r="D3161">
        <v>1500</v>
      </c>
    </row>
    <row r="3162" spans="1:4" x14ac:dyDescent="0.25">
      <c r="A3162" t="str">
        <f>T("   720916")</f>
        <v xml:space="preserve">   720916</v>
      </c>
      <c r="B3162" t="str">
        <f>T("   PRODUITS LAMINÉS PLATS, EN FER OU EN ACIERS NON-ALLIÉS, D'UNE LARGEUR &gt;= 600 MM, NON-PLAQUÉS NI REVÊTUS, ENROULÉS, SIMPL. LAMINÉS À FROID, D'UNE ÉPAISSEUR &gt; 1 MM MAIS &lt; 3 MM")</f>
        <v xml:space="preserve">   PRODUITS LAMINÉS PLATS, EN FER OU EN ACIERS NON-ALLIÉS, D'UNE LARGEUR &gt;= 600 MM, NON-PLAQUÉS NI REVÊTUS, ENROULÉS, SIMPL. LAMINÉS À FROID, D'UNE ÉPAISSEUR &gt; 1 MM MAIS &lt; 3 MM</v>
      </c>
      <c r="C3162">
        <v>283631857</v>
      </c>
      <c r="D3162">
        <v>682200</v>
      </c>
    </row>
    <row r="3163" spans="1:4" x14ac:dyDescent="0.25">
      <c r="A3163" t="str">
        <f>T("   721391")</f>
        <v xml:space="preserve">   721391</v>
      </c>
      <c r="B3163"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3163">
        <v>7059309832</v>
      </c>
      <c r="D3163">
        <v>25104433</v>
      </c>
    </row>
    <row r="3164" spans="1:4" x14ac:dyDescent="0.25">
      <c r="A3164" t="str">
        <f>T("   721410")</f>
        <v xml:space="preserve">   721410</v>
      </c>
      <c r="B3164" t="str">
        <f>T("   Barres, en fer ou en aciers non alliés, simplement forgées")</f>
        <v xml:space="preserve">   Barres, en fer ou en aciers non alliés, simplement forgées</v>
      </c>
      <c r="C3164">
        <v>51597720</v>
      </c>
      <c r="D3164">
        <v>120000</v>
      </c>
    </row>
    <row r="3165" spans="1:4" x14ac:dyDescent="0.25">
      <c r="A3165" t="str">
        <f>T("   721420")</f>
        <v xml:space="preserve">   721420</v>
      </c>
      <c r="B3165" t="str">
        <f>T("   BARRES EN FER OU EN ACIERS NON ALLIÉS, COMPORTANT DES INDENTATIONS, BOURRELETS, CREUX OU RELIEFS OBTENUS AU COURS DU LAMINAGE OU AYANT SUBI UNE TORSION APRÈS LAMINAGE")</f>
        <v xml:space="preserve">   BARRES EN FER OU EN ACIERS NON ALLIÉS, COMPORTANT DES INDENTATIONS, BOURRELETS, CREUX OU RELIEFS OBTENUS AU COURS DU LAMINAGE OU AYANT SUBI UNE TORSION APRÈS LAMINAGE</v>
      </c>
      <c r="C3165">
        <v>143464065</v>
      </c>
      <c r="D3165">
        <v>472280</v>
      </c>
    </row>
    <row r="3166" spans="1:4" x14ac:dyDescent="0.25">
      <c r="A3166" t="str">
        <f>T("   730719")</f>
        <v xml:space="preserve">   730719</v>
      </c>
      <c r="B3166" t="str">
        <f>T("   Accessoires de tuyauterie moulés en fonte, fer ou acier (sauf fonte non-malléable)")</f>
        <v xml:space="preserve">   Accessoires de tuyauterie moulés en fonte, fer ou acier (sauf fonte non-malléable)</v>
      </c>
      <c r="C3166">
        <v>98394</v>
      </c>
      <c r="D3166">
        <v>1</v>
      </c>
    </row>
    <row r="3167" spans="1:4" x14ac:dyDescent="0.25">
      <c r="A3167" t="str">
        <f>T("   730723")</f>
        <v xml:space="preserve">   730723</v>
      </c>
      <c r="B3167" t="str">
        <f>T("   ACCESSOIRES DE TUYAUTERIE EN ACIERS INOXYDABLES, À SOUDER BOUT À BOUT (NON-MOULÉS)")</f>
        <v xml:space="preserve">   ACCESSOIRES DE TUYAUTERIE EN ACIERS INOXYDABLES, À SOUDER BOUT À BOUT (NON-MOULÉS)</v>
      </c>
      <c r="C3167">
        <v>807594</v>
      </c>
      <c r="D3167">
        <v>72</v>
      </c>
    </row>
    <row r="3168" spans="1:4" x14ac:dyDescent="0.25">
      <c r="A3168" t="str">
        <f>T("   730729")</f>
        <v xml:space="preserve">   730729</v>
      </c>
      <c r="B3168" t="str">
        <f>T("   ACCESSOIRES DE TUYAUTERIE, EN ACIERS INOXYDABLES (NON-MOULÉS ET SAUF BRIDES; COUDES, COURBES ET MANCHONS FILETÉS; ACCESSOIRES À SOUDER BOUT À BOUT)")</f>
        <v xml:space="preserve">   ACCESSOIRES DE TUYAUTERIE, EN ACIERS INOXYDABLES (NON-MOULÉS ET SAUF BRIDES; COUDES, COURBES ET MANCHONS FILETÉS; ACCESSOIRES À SOUDER BOUT À BOUT)</v>
      </c>
      <c r="C3168">
        <v>4592</v>
      </c>
      <c r="D3168">
        <v>1</v>
      </c>
    </row>
    <row r="3169" spans="1:4" x14ac:dyDescent="0.25">
      <c r="A3169" t="str">
        <f>T("   730799")</f>
        <v xml:space="preserve">   730799</v>
      </c>
      <c r="B3169" t="str">
        <f>T("   Accessoires de tuyauterie, en fer ou aciers (autres que moulés ou en aciers inoxydables; sauf brides; coudes, courbes et manchons, filetés et sauf accessoires à souder bout à bout)")</f>
        <v xml:space="preserve">   Accessoires de tuyauterie, en fer ou aciers (autres que moulés ou en aciers inoxydables; sauf brides; coudes, courbes et manchons, filetés et sauf accessoires à souder bout à bout)</v>
      </c>
      <c r="C3169">
        <v>750418</v>
      </c>
      <c r="D3169">
        <v>4</v>
      </c>
    </row>
    <row r="3170" spans="1:4" x14ac:dyDescent="0.25">
      <c r="A3170" t="str">
        <f>T("   730890")</f>
        <v xml:space="preserve">   730890</v>
      </c>
      <c r="B3170" t="s">
        <v>355</v>
      </c>
      <c r="C3170">
        <v>427909210</v>
      </c>
      <c r="D3170">
        <v>448223</v>
      </c>
    </row>
    <row r="3171" spans="1:4" x14ac:dyDescent="0.25">
      <c r="A3171" t="str">
        <f>T("   731582")</f>
        <v xml:space="preserve">   731582</v>
      </c>
      <c r="B3171" t="str">
        <f>T("   CHAÎNES EN FONTE, FER OU ACIER, À MAILLONS SOUDÉS (SAUF CHAÎNES À MAILLONS ARTICULÉS, ANTIDÉRAPANTES ET À MAILLONS À ÉTAIS)")</f>
        <v xml:space="preserve">   CHAÎNES EN FONTE, FER OU ACIER, À MAILLONS SOUDÉS (SAUF CHAÎNES À MAILLONS ARTICULÉS, ANTIDÉRAPANTES ET À MAILLONS À ÉTAIS)</v>
      </c>
      <c r="C3171">
        <v>10443119</v>
      </c>
      <c r="D3171">
        <v>1820</v>
      </c>
    </row>
    <row r="3172" spans="1:4" x14ac:dyDescent="0.25">
      <c r="A3172" t="str">
        <f>T("   731590")</f>
        <v xml:space="preserve">   731590</v>
      </c>
      <c r="B3172" t="str">
        <f>T("   Parties de chaînes et chaînettes antidérapantes, à maillons à étais, et autres chaînes et chaînettes du n° 7315 (sauf de chaînes à maillons articulés)")</f>
        <v xml:space="preserve">   Parties de chaînes et chaînettes antidérapantes, à maillons à étais, et autres chaînes et chaînettes du n° 7315 (sauf de chaînes à maillons articulés)</v>
      </c>
      <c r="C3172">
        <v>8484975</v>
      </c>
      <c r="D3172">
        <v>1278</v>
      </c>
    </row>
    <row r="3173" spans="1:4" x14ac:dyDescent="0.25">
      <c r="A3173" t="str">
        <f>T("   731815")</f>
        <v xml:space="preserve">   731815</v>
      </c>
      <c r="B3173" t="s">
        <v>359</v>
      </c>
      <c r="C3173">
        <v>3205853</v>
      </c>
      <c r="D3173">
        <v>395</v>
      </c>
    </row>
    <row r="3174" spans="1:4" x14ac:dyDescent="0.25">
      <c r="A3174" t="str">
        <f>T("   731816")</f>
        <v xml:space="preserve">   731816</v>
      </c>
      <c r="B3174" t="str">
        <f>T("   ÉCROUS EN FONTE, FER OU ACIER")</f>
        <v xml:space="preserve">   ÉCROUS EN FONTE, FER OU ACIER</v>
      </c>
      <c r="C3174">
        <v>2318162</v>
      </c>
      <c r="D3174">
        <v>6</v>
      </c>
    </row>
    <row r="3175" spans="1:4" x14ac:dyDescent="0.25">
      <c r="A3175" t="str">
        <f>T("   731819")</f>
        <v xml:space="preserve">   731819</v>
      </c>
      <c r="B3175" t="str">
        <f>T("   Articles de boulonnerie et de visserie, filetés, en fonte, fer ou acier, n.d.a.")</f>
        <v xml:space="preserve">   Articles de boulonnerie et de visserie, filetés, en fonte, fer ou acier, n.d.a.</v>
      </c>
      <c r="C3175">
        <v>119089</v>
      </c>
      <c r="D3175">
        <v>3</v>
      </c>
    </row>
    <row r="3176" spans="1:4" x14ac:dyDescent="0.25">
      <c r="A3176" t="str">
        <f>T("   731822")</f>
        <v xml:space="preserve">   731822</v>
      </c>
      <c r="B3176" t="str">
        <f>T("   Rondelles en fonte, fer ou acier (sauf rondelles destinées à faire ressort et autres rondelles de blocage)")</f>
        <v xml:space="preserve">   Rondelles en fonte, fer ou acier (sauf rondelles destinées à faire ressort et autres rondelles de blocage)</v>
      </c>
      <c r="C3176">
        <v>3710897</v>
      </c>
      <c r="D3176">
        <v>176.75</v>
      </c>
    </row>
    <row r="3177" spans="1:4" x14ac:dyDescent="0.25">
      <c r="A3177" t="str">
        <f>T("   731824")</f>
        <v xml:space="preserve">   731824</v>
      </c>
      <c r="B3177" t="str">
        <f>T("   Goupilles, chevilles et clavettes en fonte, fer ou acier")</f>
        <v xml:space="preserve">   Goupilles, chevilles et clavettes en fonte, fer ou acier</v>
      </c>
      <c r="C3177">
        <v>3470028</v>
      </c>
      <c r="D3177">
        <v>105</v>
      </c>
    </row>
    <row r="3178" spans="1:4" x14ac:dyDescent="0.25">
      <c r="A3178" t="str">
        <f>T("   731829")</f>
        <v xml:space="preserve">   731829</v>
      </c>
      <c r="B3178" t="str">
        <f>T("   Articles de boulonnerie et de visserie non filetés, en fonte, fer ou acier, n.d.a.")</f>
        <v xml:space="preserve">   Articles de boulonnerie et de visserie non filetés, en fonte, fer ou acier, n.d.a.</v>
      </c>
      <c r="C3178">
        <v>347003</v>
      </c>
      <c r="D3178">
        <v>1</v>
      </c>
    </row>
    <row r="3179" spans="1:4" x14ac:dyDescent="0.25">
      <c r="A3179" t="str">
        <f>T("   732090")</f>
        <v xml:space="preserve">   732090</v>
      </c>
      <c r="B3179" t="s">
        <v>360</v>
      </c>
      <c r="C3179">
        <v>1360461</v>
      </c>
      <c r="D3179">
        <v>5</v>
      </c>
    </row>
    <row r="3180" spans="1:4" x14ac:dyDescent="0.25">
      <c r="A3180" t="str">
        <f>T("   732394")</f>
        <v xml:space="preserve">   732394</v>
      </c>
      <c r="B3180" t="s">
        <v>367</v>
      </c>
      <c r="C3180">
        <v>2270000</v>
      </c>
      <c r="D3180">
        <v>3090</v>
      </c>
    </row>
    <row r="3181" spans="1:4" x14ac:dyDescent="0.25">
      <c r="A3181" t="str">
        <f>T("   732399")</f>
        <v xml:space="preserve">   732399</v>
      </c>
      <c r="B3181" t="s">
        <v>368</v>
      </c>
      <c r="C3181">
        <v>4820628</v>
      </c>
      <c r="D3181">
        <v>9500</v>
      </c>
    </row>
    <row r="3182" spans="1:4" x14ac:dyDescent="0.25">
      <c r="A3182" t="str">
        <f>T("   732490")</f>
        <v xml:space="preserve">   732490</v>
      </c>
      <c r="B3182" t="s">
        <v>369</v>
      </c>
      <c r="C3182">
        <v>3452993</v>
      </c>
      <c r="D3182">
        <v>244.48</v>
      </c>
    </row>
    <row r="3183" spans="1:4" x14ac:dyDescent="0.25">
      <c r="A3183" t="str">
        <f>T("   732620")</f>
        <v xml:space="preserve">   732620</v>
      </c>
      <c r="B3183" t="str">
        <f>T("   Ouvrages en fil de fer ou d'acier, n.d.a.")</f>
        <v xml:space="preserve">   Ouvrages en fil de fer ou d'acier, n.d.a.</v>
      </c>
      <c r="C3183">
        <v>464918</v>
      </c>
      <c r="D3183">
        <v>44</v>
      </c>
    </row>
    <row r="3184" spans="1:4" x14ac:dyDescent="0.25">
      <c r="A3184" t="str">
        <f>T("   732690")</f>
        <v xml:space="preserve">   732690</v>
      </c>
      <c r="B3184"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3184">
        <v>7814353</v>
      </c>
      <c r="D3184">
        <v>2059</v>
      </c>
    </row>
    <row r="3185" spans="1:4" x14ac:dyDescent="0.25">
      <c r="A3185" t="str">
        <f>T("   741210")</f>
        <v xml:space="preserve">   741210</v>
      </c>
      <c r="B3185" t="str">
        <f>T("   Accessoires de tuyauterie -raccords, coudes, manchons, par exemple-, en cuivre affiné")</f>
        <v xml:space="preserve">   Accessoires de tuyauterie -raccords, coudes, manchons, par exemple-, en cuivre affiné</v>
      </c>
      <c r="C3185">
        <v>240737</v>
      </c>
      <c r="D3185">
        <v>36</v>
      </c>
    </row>
    <row r="3186" spans="1:4" x14ac:dyDescent="0.25">
      <c r="A3186" t="str">
        <f>T("   760719")</f>
        <v xml:space="preserve">   760719</v>
      </c>
      <c r="B3186" t="str">
        <f>T("   Feuilles et bandes minces d'aluminium, sans support, laminées et autrement traitées, d'une épaisseur &lt;= 0,2 mm (sauf feuilles pour le marquage au fer du n° 3212 et sauf feuilles travaillées pour la décoration des sapins de Noël)")</f>
        <v xml:space="preserve">   Feuilles et bandes minces d'aluminium, sans support, laminées et autrement traitées, d'une épaisseur &lt;= 0,2 mm (sauf feuilles pour le marquage au fer du n° 3212 et sauf feuilles travaillées pour la décoration des sapins de Noël)</v>
      </c>
      <c r="C3186">
        <v>25508972</v>
      </c>
      <c r="D3186">
        <v>1554</v>
      </c>
    </row>
    <row r="3187" spans="1:4" x14ac:dyDescent="0.25">
      <c r="A3187" t="str">
        <f>T("   760720")</f>
        <v xml:space="preserve">   760720</v>
      </c>
      <c r="B3187" t="str">
        <f>T("   Feuilles et bandes minces d'aluminium, sur support, d'une épaisseur, support non compris, &lt;= 0,2 mm (sauf feuilles pour le marquage au fer du n° 3212 et sauf feuilles travaillées pour la décoration des sapins de Noël)")</f>
        <v xml:space="preserve">   Feuilles et bandes minces d'aluminium, sur support, d'une épaisseur, support non compris, &lt;= 0,2 mm (sauf feuilles pour le marquage au fer du n° 3212 et sauf feuilles travaillées pour la décoration des sapins de Noël)</v>
      </c>
      <c r="C3187">
        <v>153495</v>
      </c>
      <c r="D3187">
        <v>88</v>
      </c>
    </row>
    <row r="3188" spans="1:4" x14ac:dyDescent="0.25">
      <c r="A3188" t="str">
        <f>T("   761010")</f>
        <v xml:space="preserve">   761010</v>
      </c>
      <c r="B3188" t="str">
        <f>T("   Portes, fenêtres et leurs cadres, chambranles et seuils, en aluminium (sauf pièces de garnissage)")</f>
        <v xml:space="preserve">   Portes, fenêtres et leurs cadres, chambranles et seuils, en aluminium (sauf pièces de garnissage)</v>
      </c>
      <c r="C3188">
        <v>2226328</v>
      </c>
      <c r="D3188">
        <v>1050</v>
      </c>
    </row>
    <row r="3189" spans="1:4" x14ac:dyDescent="0.25">
      <c r="A3189" t="str">
        <f>T("   761699")</f>
        <v xml:space="preserve">   761699</v>
      </c>
      <c r="B3189" t="str">
        <f>T("   Ouvrages en aluminium, n.d.a.")</f>
        <v xml:space="preserve">   Ouvrages en aluminium, n.d.a.</v>
      </c>
      <c r="C3189">
        <v>4588132</v>
      </c>
      <c r="D3189">
        <v>1287.5999999999999</v>
      </c>
    </row>
    <row r="3190" spans="1:4" x14ac:dyDescent="0.25">
      <c r="A3190" t="str">
        <f>T("   780500")</f>
        <v xml:space="preserve">   780500</v>
      </c>
      <c r="B3190" t="str">
        <f>T("   Tubes, tuyaux et accessoires de tuyauterie -raccords, coudes, manchons, par exemple- en plomb")</f>
        <v xml:space="preserve">   Tubes, tuyaux et accessoires de tuyauterie -raccords, coudes, manchons, par exemple- en plomb</v>
      </c>
      <c r="C3190">
        <v>2852114</v>
      </c>
      <c r="D3190">
        <v>400</v>
      </c>
    </row>
    <row r="3191" spans="1:4" x14ac:dyDescent="0.25">
      <c r="A3191" t="str">
        <f>T("   820320")</f>
        <v xml:space="preserve">   820320</v>
      </c>
      <c r="B3191" t="str">
        <f>T("   PINCES -MÊME COUPANTES-, TENAILLES, BRUCELLES À USAGE NON-MÉDICAL ET OUTILS SIMIL. À MAIN, EN MÉTAUX COMMUNS")</f>
        <v xml:space="preserve">   PINCES -MÊME COUPANTES-, TENAILLES, BRUCELLES À USAGE NON-MÉDICAL ET OUTILS SIMIL. À MAIN, EN MÉTAUX COMMUNS</v>
      </c>
      <c r="C3191">
        <v>78060</v>
      </c>
      <c r="D3191">
        <v>11</v>
      </c>
    </row>
    <row r="3192" spans="1:4" x14ac:dyDescent="0.25">
      <c r="A3192" t="str">
        <f>T("   820412")</f>
        <v xml:space="preserve">   820412</v>
      </c>
      <c r="B3192" t="str">
        <f>T("   Clés de serrage à main, y.c. -les clés dynamométriques-, en métaux communs, à ouverture variable")</f>
        <v xml:space="preserve">   Clés de serrage à main, y.c. -les clés dynamométriques-, en métaux communs, à ouverture variable</v>
      </c>
      <c r="C3192">
        <v>2526102</v>
      </c>
      <c r="D3192">
        <v>3315</v>
      </c>
    </row>
    <row r="3193" spans="1:4" x14ac:dyDescent="0.25">
      <c r="A3193" t="str">
        <f>T("   820420")</f>
        <v xml:space="preserve">   820420</v>
      </c>
      <c r="B3193" t="str">
        <f>T("   Douilles de serrage interchangeables, même avec manches, en métaux communs")</f>
        <v xml:space="preserve">   Douilles de serrage interchangeables, même avec manches, en métaux communs</v>
      </c>
      <c r="C3193">
        <v>160711</v>
      </c>
      <c r="D3193">
        <v>2</v>
      </c>
    </row>
    <row r="3194" spans="1:4" x14ac:dyDescent="0.25">
      <c r="A3194" t="str">
        <f>T("   820559")</f>
        <v xml:space="preserve">   820559</v>
      </c>
      <c r="B3194" t="str">
        <f>T("   Outils à main, y.c. -les diamants de vitrier-, en métaux communs, n.d.a.")</f>
        <v xml:space="preserve">   Outils à main, y.c. -les diamants de vitrier-, en métaux communs, n.d.a.</v>
      </c>
      <c r="C3194">
        <v>102310</v>
      </c>
      <c r="D3194">
        <v>402</v>
      </c>
    </row>
    <row r="3195" spans="1:4" x14ac:dyDescent="0.25">
      <c r="A3195" t="str">
        <f>T("   820890")</f>
        <v xml:space="preserve">   820890</v>
      </c>
      <c r="B3195" t="s">
        <v>377</v>
      </c>
      <c r="C3195">
        <v>2917054</v>
      </c>
      <c r="D3195">
        <v>90</v>
      </c>
    </row>
    <row r="3196" spans="1:4" x14ac:dyDescent="0.25">
      <c r="A3196" t="str">
        <f>T("   821000")</f>
        <v xml:space="preserve">   821000</v>
      </c>
      <c r="B3196" t="s">
        <v>378</v>
      </c>
      <c r="C3196">
        <v>244017</v>
      </c>
      <c r="D3196">
        <v>457</v>
      </c>
    </row>
    <row r="3197" spans="1:4" x14ac:dyDescent="0.25">
      <c r="A3197" t="str">
        <f>T("   821520")</f>
        <v xml:space="preserve">   821520</v>
      </c>
      <c r="B3197" t="str">
        <f>T("   ASSORTIMENTS COMPOSÉS D'UN OU PLUSIEURS COUTEAUX DU N° 8211 ET D'UN NOMBRE AU MOINS ÉGAL DE CUILLERS, FOURCHETTES OU AUTRES ARTICLES DU N° N° 8215, EN MÉTAUX COMMUNS, NE COMPRENANT AUCUNE PARTIE ARGENTÉE, DORÉE OU PLATINÉE")</f>
        <v xml:space="preserve">   ASSORTIMENTS COMPOSÉS D'UN OU PLUSIEURS COUTEAUX DU N° 8211 ET D'UN NOMBRE AU MOINS ÉGAL DE CUILLERS, FOURCHETTES OU AUTRES ARTICLES DU N° N° 8215, EN MÉTAUX COMMUNS, NE COMPRENANT AUCUNE PARTIE ARGENTÉE, DORÉE OU PLATINÉE</v>
      </c>
      <c r="C3197">
        <v>81995</v>
      </c>
      <c r="D3197">
        <v>560</v>
      </c>
    </row>
    <row r="3198" spans="1:4" x14ac:dyDescent="0.25">
      <c r="A3198" t="str">
        <f>T("   830610")</f>
        <v xml:space="preserve">   830610</v>
      </c>
      <c r="B3198" t="str">
        <f>T("   Cloches, sonnettes, gongs et articles simil. non-électriques, en métaux communs (sauf instruments de musique)")</f>
        <v xml:space="preserve">   Cloches, sonnettes, gongs et articles simil. non-électriques, en métaux communs (sauf instruments de musique)</v>
      </c>
      <c r="C3198">
        <v>47354</v>
      </c>
      <c r="D3198">
        <v>90</v>
      </c>
    </row>
    <row r="3199" spans="1:4" x14ac:dyDescent="0.25">
      <c r="A3199" t="str">
        <f>T("   830810")</f>
        <v xml:space="preserve">   830810</v>
      </c>
      <c r="B3199" t="str">
        <f>T("   Agrafes, crochets et oeillets, en métaux communs, pour vêtements, chaussures, bâches, maroquinerie, ou pour toutes confections ou équipements")</f>
        <v xml:space="preserve">   Agrafes, crochets et oeillets, en métaux communs, pour vêtements, chaussures, bâches, maroquinerie, ou pour toutes confections ou équipements</v>
      </c>
      <c r="C3199">
        <v>1405723</v>
      </c>
      <c r="D3199">
        <v>269</v>
      </c>
    </row>
    <row r="3200" spans="1:4" x14ac:dyDescent="0.25">
      <c r="A3200" t="str">
        <f>T("   830910")</f>
        <v xml:space="preserve">   830910</v>
      </c>
      <c r="B3200" t="str">
        <f>T("   Bouchons-couronnes en métaux communs")</f>
        <v xml:space="preserve">   Bouchons-couronnes en métaux communs</v>
      </c>
      <c r="C3200">
        <v>5494321</v>
      </c>
      <c r="D3200">
        <v>2070</v>
      </c>
    </row>
    <row r="3201" spans="1:4" x14ac:dyDescent="0.25">
      <c r="A3201" t="str">
        <f>T("   830990")</f>
        <v xml:space="preserve">   830990</v>
      </c>
      <c r="B3201" t="str">
        <f>T("   Bouchons [y.c. les bouchons à pas de vis et les bouchons-verseurs], couvercles, capsules pour bouteilles, bondes filetées, plaques de bondes, scellés et autres accessoires d'emballage, en métaux communs (à l'excl. des bouchons-couronnes)")</f>
        <v xml:space="preserve">   Bouchons [y.c. les bouchons à pas de vis et les bouchons-verseurs], couvercles, capsules pour bouteilles, bondes filetées, plaques de bondes, scellés et autres accessoires d'emballage, en métaux communs (à l'excl. des bouchons-couronnes)</v>
      </c>
      <c r="C3201">
        <v>1006635</v>
      </c>
      <c r="D3201">
        <v>11500</v>
      </c>
    </row>
    <row r="3202" spans="1:4" x14ac:dyDescent="0.25">
      <c r="A3202" t="str">
        <f>T("   831000")</f>
        <v xml:space="preserve">   831000</v>
      </c>
      <c r="B3202" t="s">
        <v>383</v>
      </c>
      <c r="C3202">
        <v>88728430</v>
      </c>
      <c r="D3202">
        <v>9000</v>
      </c>
    </row>
    <row r="3203" spans="1:4" x14ac:dyDescent="0.25">
      <c r="A3203" t="str">
        <f>T("   840790")</f>
        <v xml:space="preserve">   840790</v>
      </c>
      <c r="B3203" t="s">
        <v>391</v>
      </c>
      <c r="C3203">
        <v>15750912</v>
      </c>
      <c r="D3203">
        <v>33835</v>
      </c>
    </row>
    <row r="3204" spans="1:4" x14ac:dyDescent="0.25">
      <c r="A3204" t="str">
        <f>T("   840820")</f>
        <v xml:space="preserve">   840820</v>
      </c>
      <c r="B3204" t="s">
        <v>392</v>
      </c>
      <c r="C3204">
        <v>28154980</v>
      </c>
      <c r="D3204">
        <v>28000</v>
      </c>
    </row>
    <row r="3205" spans="1:4" x14ac:dyDescent="0.25">
      <c r="A3205" t="str">
        <f>T("   840999")</f>
        <v xml:space="preserve">   840999</v>
      </c>
      <c r="B3205"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3205">
        <v>3840727</v>
      </c>
      <c r="D3205">
        <v>187</v>
      </c>
    </row>
    <row r="3206" spans="1:4" x14ac:dyDescent="0.25">
      <c r="A3206" t="str">
        <f>T("   841330")</f>
        <v xml:space="preserve">   841330</v>
      </c>
      <c r="B3206" t="str">
        <f>T("   Pompes à carburant, à huile ou à liquide de refroidissement pour moteurs à allumage par étincelles ou par compression")</f>
        <v xml:space="preserve">   Pompes à carburant, à huile ou à liquide de refroidissement pour moteurs à allumage par étincelles ou par compression</v>
      </c>
      <c r="C3206">
        <v>2123998</v>
      </c>
      <c r="D3206">
        <v>280</v>
      </c>
    </row>
    <row r="3207" spans="1:4" x14ac:dyDescent="0.25">
      <c r="A3207" t="str">
        <f>T("   841350")</f>
        <v xml:space="preserve">   841350</v>
      </c>
      <c r="B3207" t="s">
        <v>394</v>
      </c>
      <c r="C3207">
        <v>800821</v>
      </c>
      <c r="D3207">
        <v>66</v>
      </c>
    </row>
    <row r="3208" spans="1:4" x14ac:dyDescent="0.25">
      <c r="A3208" t="str">
        <f>T("   841370")</f>
        <v xml:space="preserve">   841370</v>
      </c>
      <c r="B3208" t="s">
        <v>396</v>
      </c>
      <c r="C3208">
        <v>5418230</v>
      </c>
      <c r="D3208">
        <v>261</v>
      </c>
    </row>
    <row r="3209" spans="1:4" x14ac:dyDescent="0.25">
      <c r="A3209" t="str">
        <f>T("   841381")</f>
        <v xml:space="preserve">   841381</v>
      </c>
      <c r="B3209" t="s">
        <v>397</v>
      </c>
      <c r="C3209">
        <v>2867201</v>
      </c>
      <c r="D3209">
        <v>14</v>
      </c>
    </row>
    <row r="3210" spans="1:4" x14ac:dyDescent="0.25">
      <c r="A3210" t="str">
        <f>T("   841391")</f>
        <v xml:space="preserve">   841391</v>
      </c>
      <c r="B3210" t="str">
        <f>T("   Parties de pompes pour liquides, n.d.a.")</f>
        <v xml:space="preserve">   Parties de pompes pour liquides, n.d.a.</v>
      </c>
      <c r="C3210">
        <v>6271634</v>
      </c>
      <c r="D3210">
        <v>32</v>
      </c>
    </row>
    <row r="3211" spans="1:4" x14ac:dyDescent="0.25">
      <c r="A3211" t="str">
        <f>T("   841430")</f>
        <v xml:space="preserve">   841430</v>
      </c>
      <c r="B3211" t="str">
        <f>T("   Compresseurs des types utilisés pour équipements frigorifiques")</f>
        <v xml:space="preserve">   Compresseurs des types utilisés pour équipements frigorifiques</v>
      </c>
      <c r="C3211">
        <v>2411716</v>
      </c>
      <c r="D3211">
        <v>2010</v>
      </c>
    </row>
    <row r="3212" spans="1:4" x14ac:dyDescent="0.25">
      <c r="A3212" t="str">
        <f>T("   841440")</f>
        <v xml:space="preserve">   841440</v>
      </c>
      <c r="B3212" t="str">
        <f>T("   Compresseurs d'air montés sur châssis à roues et remorquables")</f>
        <v xml:space="preserve">   Compresseurs d'air montés sur châssis à roues et remorquables</v>
      </c>
      <c r="C3212">
        <v>2495748</v>
      </c>
      <c r="D3212">
        <v>3660</v>
      </c>
    </row>
    <row r="3213" spans="1:4" x14ac:dyDescent="0.25">
      <c r="A3213" t="str">
        <f>T("   841480")</f>
        <v xml:space="preserve">   841480</v>
      </c>
      <c r="B3213" t="s">
        <v>398</v>
      </c>
      <c r="C3213">
        <v>976724</v>
      </c>
      <c r="D3213">
        <v>42</v>
      </c>
    </row>
    <row r="3214" spans="1:4" x14ac:dyDescent="0.25">
      <c r="A3214" t="str">
        <f>T("   841490")</f>
        <v xml:space="preserve">   841490</v>
      </c>
      <c r="B3214" t="str">
        <f>T("   Parties de pompes à air ou à vide, de compresseurs d'air ou d'autres gaz et de ventilateurs, de hottes aspirantes à extraction ou à recyclage, à ventilateur incorporé, n.d.a.")</f>
        <v xml:space="preserve">   Parties de pompes à air ou à vide, de compresseurs d'air ou d'autres gaz et de ventilateurs, de hottes aspirantes à extraction ou à recyclage, à ventilateur incorporé, n.d.a.</v>
      </c>
      <c r="C3214">
        <v>9546186</v>
      </c>
      <c r="D3214">
        <v>41</v>
      </c>
    </row>
    <row r="3215" spans="1:4" x14ac:dyDescent="0.25">
      <c r="A3215" t="str">
        <f>T("   841510")</f>
        <v xml:space="preserve">   841510</v>
      </c>
      <c r="B3215" t="s">
        <v>399</v>
      </c>
      <c r="C3215">
        <v>224336</v>
      </c>
      <c r="D3215">
        <v>122</v>
      </c>
    </row>
    <row r="3216" spans="1:4" x14ac:dyDescent="0.25">
      <c r="A3216" t="str">
        <f>T("   841582")</f>
        <v xml:space="preserve">   841582</v>
      </c>
      <c r="B3216" t="s">
        <v>401</v>
      </c>
      <c r="C3216">
        <v>505746</v>
      </c>
      <c r="D3216">
        <v>325</v>
      </c>
    </row>
    <row r="3217" spans="1:4" x14ac:dyDescent="0.25">
      <c r="A3217" t="str">
        <f>T("   841720")</f>
        <v xml:space="preserve">   841720</v>
      </c>
      <c r="B3217" t="str">
        <f>T("   Fours non-électriques, de boulangerie, de pâtisserie ou de biscuiterie")</f>
        <v xml:space="preserve">   Fours non-électriques, de boulangerie, de pâtisserie ou de biscuiterie</v>
      </c>
      <c r="C3217">
        <v>4000000</v>
      </c>
      <c r="D3217">
        <v>15130</v>
      </c>
    </row>
    <row r="3218" spans="1:4" x14ac:dyDescent="0.25">
      <c r="A3218" t="str">
        <f>T("   841790")</f>
        <v xml:space="preserve">   841790</v>
      </c>
      <c r="B3218" t="str">
        <f>T("   Parties de fours industriels ou de laboratoire non-électriques, y.c. d'incinérateurs, n.d.a.")</f>
        <v xml:space="preserve">   Parties de fours industriels ou de laboratoire non-électriques, y.c. d'incinérateurs, n.d.a.</v>
      </c>
      <c r="C3218">
        <v>11500947</v>
      </c>
      <c r="D3218">
        <v>1642</v>
      </c>
    </row>
    <row r="3219" spans="1:4" x14ac:dyDescent="0.25">
      <c r="A3219" t="str">
        <f>T("   841829")</f>
        <v xml:space="preserve">   841829</v>
      </c>
      <c r="B3219" t="str">
        <f>T("   Réfrigérateurs ménagers à absorption, non-électriques")</f>
        <v xml:space="preserve">   Réfrigérateurs ménagers à absorption, non-électriques</v>
      </c>
      <c r="C3219">
        <v>46879151</v>
      </c>
      <c r="D3219">
        <v>61378</v>
      </c>
    </row>
    <row r="3220" spans="1:4" x14ac:dyDescent="0.25">
      <c r="A3220" t="str">
        <f>T("   841869")</f>
        <v xml:space="preserve">   841869</v>
      </c>
      <c r="B3220" t="str">
        <f>T("   Matériel, machines et appareils pour la production du froid ainsi que pompes à chaleur à absorption (autres que réfrigérateurs et meubles congélateurs-conservateurs)")</f>
        <v xml:space="preserve">   Matériel, machines et appareils pour la production du froid ainsi que pompes à chaleur à absorption (autres que réfrigérateurs et meubles congélateurs-conservateurs)</v>
      </c>
      <c r="C3220">
        <v>18739609</v>
      </c>
      <c r="D3220">
        <v>3699</v>
      </c>
    </row>
    <row r="3221" spans="1:4" x14ac:dyDescent="0.25">
      <c r="A3221" t="str">
        <f>T("   841981")</f>
        <v xml:space="preserve">   841981</v>
      </c>
      <c r="B3221" t="str">
        <f>T("   Appareils et dispositifs pour la préparation de boissons chaudes ou la cuisson ou le chauffage des aliments (sauf appareils domestiques)")</f>
        <v xml:space="preserve">   Appareils et dispositifs pour la préparation de boissons chaudes ou la cuisson ou le chauffage des aliments (sauf appareils domestiques)</v>
      </c>
      <c r="C3221">
        <v>10302757</v>
      </c>
      <c r="D3221">
        <v>606</v>
      </c>
    </row>
    <row r="3222" spans="1:4" x14ac:dyDescent="0.25">
      <c r="A3222" t="str">
        <f>T("   842119")</f>
        <v xml:space="preserve">   842119</v>
      </c>
      <c r="B3222" t="str">
        <f>T("   Centrifugeuses, y.c. les essoreuses centrifuges (autres que pour la séparation isotopique et sauf écrémeuses et essoreuses à linge)")</f>
        <v xml:space="preserve">   Centrifugeuses, y.c. les essoreuses centrifuges (autres que pour la séparation isotopique et sauf écrémeuses et essoreuses à linge)</v>
      </c>
      <c r="C3222">
        <v>45792075</v>
      </c>
      <c r="D3222">
        <v>1115</v>
      </c>
    </row>
    <row r="3223" spans="1:4" x14ac:dyDescent="0.25">
      <c r="A3223" t="str">
        <f>T("   842121")</f>
        <v xml:space="preserve">   842121</v>
      </c>
      <c r="B3223" t="str">
        <f>T("   Appareils pour la filtration ou l'épuration des eaux")</f>
        <v xml:space="preserve">   Appareils pour la filtration ou l'épuration des eaux</v>
      </c>
      <c r="C3223">
        <v>135566</v>
      </c>
      <c r="D3223">
        <v>0.5</v>
      </c>
    </row>
    <row r="3224" spans="1:4" x14ac:dyDescent="0.25">
      <c r="A3224" t="str">
        <f>T("   842122")</f>
        <v xml:space="preserve">   842122</v>
      </c>
      <c r="B3224" t="str">
        <f>T("   Appareils pour la filtration ou l'épuration des boissons (autres que l'eau)")</f>
        <v xml:space="preserve">   Appareils pour la filtration ou l'épuration des boissons (autres que l'eau)</v>
      </c>
      <c r="C3224">
        <v>9273307</v>
      </c>
      <c r="D3224">
        <v>257</v>
      </c>
    </row>
    <row r="3225" spans="1:4" x14ac:dyDescent="0.25">
      <c r="A3225" t="str">
        <f>T("   842123")</f>
        <v xml:space="preserve">   842123</v>
      </c>
      <c r="B3225" t="str">
        <f>T("   Appareils pour la filtration des huiles minérales et carburants pour les moteurs à allumage par étincelles ou par compression")</f>
        <v xml:space="preserve">   Appareils pour la filtration des huiles minérales et carburants pour les moteurs à allumage par étincelles ou par compression</v>
      </c>
      <c r="C3225">
        <v>7090974</v>
      </c>
      <c r="D3225">
        <v>172.75</v>
      </c>
    </row>
    <row r="3226" spans="1:4" x14ac:dyDescent="0.25">
      <c r="A3226" t="str">
        <f>T("   842131")</f>
        <v xml:space="preserve">   842131</v>
      </c>
      <c r="B3226" t="str">
        <f>T("   Filtres d'entrée d'air pour moteurs à allumage par étincelles ou par compression")</f>
        <v xml:space="preserve">   Filtres d'entrée d'air pour moteurs à allumage par étincelles ou par compression</v>
      </c>
      <c r="C3226">
        <v>127256</v>
      </c>
      <c r="D3226">
        <v>5</v>
      </c>
    </row>
    <row r="3227" spans="1:4" x14ac:dyDescent="0.25">
      <c r="A3227" t="str">
        <f>T("   842139")</f>
        <v xml:space="preserve">   842139</v>
      </c>
      <c r="B3227" t="str">
        <f>T("   Appareils pour la filtration ou l'épuration des gaz (autres que pour la séparation isotopique et sauf les filtres d'entrée d'air pour moteurs à allumage par étincelles ou par compression)")</f>
        <v xml:space="preserve">   Appareils pour la filtration ou l'épuration des gaz (autres que pour la séparation isotopique et sauf les filtres d'entrée d'air pour moteurs à allumage par étincelles ou par compression)</v>
      </c>
      <c r="C3227">
        <v>4146219</v>
      </c>
      <c r="D3227">
        <v>254</v>
      </c>
    </row>
    <row r="3228" spans="1:4" x14ac:dyDescent="0.25">
      <c r="A3228" t="str">
        <f>T("   842199")</f>
        <v xml:space="preserve">   842199</v>
      </c>
      <c r="B3228" t="str">
        <f>T("   Parties d'appareils pour la filtration ou l'épuration des liquides ou des gaz, n.d.a.")</f>
        <v xml:space="preserve">   Parties d'appareils pour la filtration ou l'épuration des liquides ou des gaz, n.d.a.</v>
      </c>
      <c r="C3228">
        <v>3458739</v>
      </c>
      <c r="D3228">
        <v>16</v>
      </c>
    </row>
    <row r="3229" spans="1:4" x14ac:dyDescent="0.25">
      <c r="A3229" t="str">
        <f>T("   842211")</f>
        <v xml:space="preserve">   842211</v>
      </c>
      <c r="B3229" t="str">
        <f>T("   Machines à laver la vaisselle, de type ménager")</f>
        <v xml:space="preserve">   Machines à laver la vaisselle, de type ménager</v>
      </c>
      <c r="C3229">
        <v>52477</v>
      </c>
      <c r="D3229">
        <v>350</v>
      </c>
    </row>
    <row r="3230" spans="1:4" x14ac:dyDescent="0.25">
      <c r="A3230" t="str">
        <f>T("   842219")</f>
        <v xml:space="preserve">   842219</v>
      </c>
      <c r="B3230" t="str">
        <f>T("   Machines à laver la vaisselle (autres que de type ménager)")</f>
        <v xml:space="preserve">   Machines à laver la vaisselle (autres que de type ménager)</v>
      </c>
      <c r="C3230">
        <v>852092</v>
      </c>
      <c r="D3230">
        <v>82</v>
      </c>
    </row>
    <row r="3231" spans="1:4" x14ac:dyDescent="0.25">
      <c r="A3231" t="str">
        <f>T("   842290")</f>
        <v xml:space="preserve">   842290</v>
      </c>
      <c r="B3231" t="str">
        <f>T("   Parties des machines à laver la vaisselle, des machines à empaqueter ou à emballer les marchandises et autres machines et appareils du n° 8422, n.d.a.")</f>
        <v xml:space="preserve">   Parties des machines à laver la vaisselle, des machines à empaqueter ou à emballer les marchandises et autres machines et appareils du n° 8422, n.d.a.</v>
      </c>
      <c r="C3231">
        <v>298669620</v>
      </c>
      <c r="D3231">
        <v>1556</v>
      </c>
    </row>
    <row r="3232" spans="1:4" x14ac:dyDescent="0.25">
      <c r="A3232" t="str">
        <f>T("   842389")</f>
        <v xml:space="preserve">   842389</v>
      </c>
      <c r="B3232" t="str">
        <f>T("   Appareils et instruments de pesage, portée &gt; 5000 kg")</f>
        <v xml:space="preserve">   Appareils et instruments de pesage, portée &gt; 5000 kg</v>
      </c>
      <c r="C3232">
        <v>548383</v>
      </c>
      <c r="D3232">
        <v>200</v>
      </c>
    </row>
    <row r="3233" spans="1:4" x14ac:dyDescent="0.25">
      <c r="A3233" t="str">
        <f>T("   842430")</f>
        <v xml:space="preserve">   842430</v>
      </c>
      <c r="B3233" t="s">
        <v>409</v>
      </c>
      <c r="C3233">
        <v>749762</v>
      </c>
      <c r="D3233">
        <v>23</v>
      </c>
    </row>
    <row r="3234" spans="1:4" x14ac:dyDescent="0.25">
      <c r="A3234" t="str">
        <f>T("   842481")</f>
        <v xml:space="preserve">   842481</v>
      </c>
      <c r="B3234" t="str">
        <f>T("   Machines et appareils mécaniques, même à main, à projeter, disperser ou pulvériser des matières liquides ou en poudre, pour l'agriculture ou l'horticulture")</f>
        <v xml:space="preserve">   Machines et appareils mécaniques, même à main, à projeter, disperser ou pulvériser des matières liquides ou en poudre, pour l'agriculture ou l'horticulture</v>
      </c>
      <c r="C3234">
        <v>3261340</v>
      </c>
      <c r="D3234">
        <v>200</v>
      </c>
    </row>
    <row r="3235" spans="1:4" x14ac:dyDescent="0.25">
      <c r="A3235" t="str">
        <f>T("   842489")</f>
        <v xml:space="preserve">   842489</v>
      </c>
      <c r="B3235" t="str">
        <f>T("   Machines et appareils mécaniques, même à main, à projeter, disperser ou pulvériser des matières liquides ou en poudre, n.d.a.")</f>
        <v xml:space="preserve">   Machines et appareils mécaniques, même à main, à projeter, disperser ou pulvériser des matières liquides ou en poudre, n.d.a.</v>
      </c>
      <c r="C3235">
        <v>492711</v>
      </c>
      <c r="D3235">
        <v>75.3</v>
      </c>
    </row>
    <row r="3236" spans="1:4" x14ac:dyDescent="0.25">
      <c r="A3236" t="str">
        <f>T("   842490")</f>
        <v xml:space="preserve">   842490</v>
      </c>
      <c r="B3236" t="s">
        <v>410</v>
      </c>
      <c r="C3236">
        <v>5318524</v>
      </c>
      <c r="D3236">
        <v>26</v>
      </c>
    </row>
    <row r="3237" spans="1:4" x14ac:dyDescent="0.25">
      <c r="A3237" t="str">
        <f>T("   842511")</f>
        <v xml:space="preserve">   842511</v>
      </c>
      <c r="B3237" t="str">
        <f>T("   Palans à moteur électrique")</f>
        <v xml:space="preserve">   Palans à moteur électrique</v>
      </c>
      <c r="C3237">
        <v>1544130</v>
      </c>
      <c r="D3237">
        <v>111</v>
      </c>
    </row>
    <row r="3238" spans="1:4" x14ac:dyDescent="0.25">
      <c r="A3238" t="str">
        <f>T("   842542")</f>
        <v xml:space="preserve">   842542</v>
      </c>
      <c r="B3238" t="str">
        <f>T("   Crics et vérins, hydrauliques (sauf élévateurs fixes des types utilisés dans les garages pour voitures)")</f>
        <v xml:space="preserve">   Crics et vérins, hydrauliques (sauf élévateurs fixes des types utilisés dans les garages pour voitures)</v>
      </c>
      <c r="C3238">
        <v>1246980</v>
      </c>
      <c r="D3238">
        <v>1400</v>
      </c>
    </row>
    <row r="3239" spans="1:4" x14ac:dyDescent="0.25">
      <c r="A3239" t="str">
        <f>T("   842641")</f>
        <v xml:space="preserve">   842641</v>
      </c>
      <c r="B3239" t="str">
        <f>T("   Bigues et chariots-grues et autres machines et appareils autopropulsés, sur pneumatiques (à l'excl. des grues automotrices, portiques mobiles se déplaçant sur pneumatiques et sauf chariots-cavaliers)")</f>
        <v xml:space="preserve">   Bigues et chariots-grues et autres machines et appareils autopropulsés, sur pneumatiques (à l'excl. des grues automotrices, portiques mobiles se déplaçant sur pneumatiques et sauf chariots-cavaliers)</v>
      </c>
      <c r="C3239">
        <v>200055</v>
      </c>
      <c r="D3239">
        <v>50</v>
      </c>
    </row>
    <row r="3240" spans="1:4" x14ac:dyDescent="0.25">
      <c r="A3240" t="str">
        <f>T("   842839")</f>
        <v xml:space="preserve">   842839</v>
      </c>
      <c r="B3240" t="str">
        <f>T("   Appareils élévateurs, transporteurs ou convoyeurs pour marchandises, à action continue (autres que conçus pour mines au fond ou pour autres travaux souterrains, autres qu'à benne, à bande ou à courroie et autres que pneumatiques)")</f>
        <v xml:space="preserve">   Appareils élévateurs, transporteurs ou convoyeurs pour marchandises, à action continue (autres que conçus pour mines au fond ou pour autres travaux souterrains, autres qu'à benne, à bande ou à courroie et autres que pneumatiques)</v>
      </c>
      <c r="C3240">
        <v>28397165</v>
      </c>
      <c r="D3240">
        <v>3895</v>
      </c>
    </row>
    <row r="3241" spans="1:4" x14ac:dyDescent="0.25">
      <c r="A3241" t="str">
        <f>T("   842940")</f>
        <v xml:space="preserve">   842940</v>
      </c>
      <c r="B3241" t="str">
        <f>T("   Rouleaux compresseurs et autres compacteuses, autopropulsés")</f>
        <v xml:space="preserve">   Rouleaux compresseurs et autres compacteuses, autopropulsés</v>
      </c>
      <c r="C3241">
        <v>6000000</v>
      </c>
      <c r="D3241">
        <v>9000</v>
      </c>
    </row>
    <row r="3242" spans="1:4" x14ac:dyDescent="0.25">
      <c r="A3242" t="str">
        <f>T("   842951")</f>
        <v xml:space="preserve">   842951</v>
      </c>
      <c r="B3242" t="str">
        <f>T("   Chargeuses et chargeuses-pelleteuses, à chargement frontal, autopropulsées")</f>
        <v xml:space="preserve">   Chargeuses et chargeuses-pelleteuses, à chargement frontal, autopropulsées</v>
      </c>
      <c r="C3242">
        <v>12000132</v>
      </c>
      <c r="D3242">
        <v>19000</v>
      </c>
    </row>
    <row r="3243" spans="1:4" x14ac:dyDescent="0.25">
      <c r="A3243" t="str">
        <f>T("   842959")</f>
        <v xml:space="preserve">   842959</v>
      </c>
      <c r="B3243"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3243">
        <v>6600000</v>
      </c>
      <c r="D3243">
        <v>1110</v>
      </c>
    </row>
    <row r="3244" spans="1:4" x14ac:dyDescent="0.25">
      <c r="A3244" t="str">
        <f>T("   843120")</f>
        <v xml:space="preserve">   843120</v>
      </c>
      <c r="B3244" t="str">
        <f>T("   Parties de chariots-gerbeurs et autres chariots de manutention munis d'un dispositif de levage, n.d.a.")</f>
        <v xml:space="preserve">   Parties de chariots-gerbeurs et autres chariots de manutention munis d'un dispositif de levage, n.d.a.</v>
      </c>
      <c r="C3244">
        <v>20211222</v>
      </c>
      <c r="D3244">
        <v>1568</v>
      </c>
    </row>
    <row r="3245" spans="1:4" x14ac:dyDescent="0.25">
      <c r="A3245" t="str">
        <f>T("   843131")</f>
        <v xml:space="preserve">   843131</v>
      </c>
      <c r="B3245" t="str">
        <f>T("   Parties d'ascenseurs, monte-charge ou escaliers mécaniques, n.d.a.")</f>
        <v xml:space="preserve">   Parties d'ascenseurs, monte-charge ou escaliers mécaniques, n.d.a.</v>
      </c>
      <c r="C3245">
        <v>212531</v>
      </c>
      <c r="D3245">
        <v>1</v>
      </c>
    </row>
    <row r="3246" spans="1:4" x14ac:dyDescent="0.25">
      <c r="A3246" t="str">
        <f>T("   843139")</f>
        <v xml:space="preserve">   843139</v>
      </c>
      <c r="B3246" t="str">
        <f>T("   Parties de machines et appareils du n° 8428, n.d.a.")</f>
        <v xml:space="preserve">   Parties de machines et appareils du n° 8428, n.d.a.</v>
      </c>
      <c r="C3246">
        <v>3055676</v>
      </c>
      <c r="D3246">
        <v>212</v>
      </c>
    </row>
    <row r="3247" spans="1:4" x14ac:dyDescent="0.25">
      <c r="A3247" t="str">
        <f>T("   843141")</f>
        <v xml:space="preserve">   843141</v>
      </c>
      <c r="B3247" t="str">
        <f>T("   Godets, bennes, bennes-preneuses, pelles, grappins et pinces pour machines et appareils du n° 8426, 8429 ou 8430")</f>
        <v xml:space="preserve">   Godets, bennes, bennes-preneuses, pelles, grappins et pinces pour machines et appareils du n° 8426, 8429 ou 8430</v>
      </c>
      <c r="C3247">
        <v>1485750</v>
      </c>
      <c r="D3247">
        <v>251</v>
      </c>
    </row>
    <row r="3248" spans="1:4" x14ac:dyDescent="0.25">
      <c r="A3248" t="str">
        <f>T("   843149")</f>
        <v xml:space="preserve">   843149</v>
      </c>
      <c r="B3248" t="str">
        <f>T("   Parties de machines et appareils du n° 8426, 8429 ou 8430, n.d.a.")</f>
        <v xml:space="preserve">   Parties de machines et appareils du n° 8426, 8429 ou 8430, n.d.a.</v>
      </c>
      <c r="C3248">
        <v>24099881</v>
      </c>
      <c r="D3248">
        <v>2095</v>
      </c>
    </row>
    <row r="3249" spans="1:4" x14ac:dyDescent="0.25">
      <c r="A3249" t="str">
        <f>T("   843359")</f>
        <v xml:space="preserve">   843359</v>
      </c>
      <c r="B3249" t="s">
        <v>414</v>
      </c>
      <c r="C3249">
        <v>767474</v>
      </c>
      <c r="D3249">
        <v>400</v>
      </c>
    </row>
    <row r="3250" spans="1:4" x14ac:dyDescent="0.25">
      <c r="A3250" t="str">
        <f>T("   843810")</f>
        <v xml:space="preserve">   843810</v>
      </c>
      <c r="B3250" t="s">
        <v>419</v>
      </c>
      <c r="C3250">
        <v>1500000</v>
      </c>
      <c r="D3250">
        <v>1700</v>
      </c>
    </row>
    <row r="3251" spans="1:4" x14ac:dyDescent="0.25">
      <c r="A3251" t="str">
        <f>T("   843830")</f>
        <v xml:space="preserve">   843830</v>
      </c>
      <c r="B3251" t="str">
        <f>T("   Machines et appareils pour la fabrication industrielle de sucre (sauf centrifugeuses et sauf appareils de filtrage, appareils thermiques et appareils de refroidissement)")</f>
        <v xml:space="preserve">   Machines et appareils pour la fabrication industrielle de sucre (sauf centrifugeuses et sauf appareils de filtrage, appareils thermiques et appareils de refroidissement)</v>
      </c>
      <c r="C3251">
        <v>700566</v>
      </c>
      <c r="D3251">
        <v>400</v>
      </c>
    </row>
    <row r="3252" spans="1:4" x14ac:dyDescent="0.25">
      <c r="A3252" t="str">
        <f>T("   843890")</f>
        <v xml:space="preserve">   843890</v>
      </c>
      <c r="B3252" t="str">
        <f>T("   Parties des machines et appareils pour le traitement, la préparation ou la fabrication industriels d'aliments ou de boissons, n.d.a.")</f>
        <v xml:space="preserve">   Parties des machines et appareils pour le traitement, la préparation ou la fabrication industriels d'aliments ou de boissons, n.d.a.</v>
      </c>
      <c r="C3252">
        <v>24621907</v>
      </c>
      <c r="D3252">
        <v>16201</v>
      </c>
    </row>
    <row r="3253" spans="1:4" x14ac:dyDescent="0.25">
      <c r="A3253" t="str">
        <f>T("   844359")</f>
        <v xml:space="preserve">   844359</v>
      </c>
      <c r="B3253" t="s">
        <v>424</v>
      </c>
      <c r="C3253">
        <v>13585279</v>
      </c>
      <c r="D3253">
        <v>23533</v>
      </c>
    </row>
    <row r="3254" spans="1:4" x14ac:dyDescent="0.25">
      <c r="A3254" t="str">
        <f>T("   844820")</f>
        <v xml:space="preserve">   844820</v>
      </c>
      <c r="B3254" t="str">
        <f>T("   Parties et accessoires des machines pour le filage -extrusion-, l'étirage, la texturation ou le tranchage des matières textiles synthétiques ou artificielles ou de leurs machines et appareils auxiliaires, n.d.a.")</f>
        <v xml:space="preserve">   Parties et accessoires des machines pour le filage -extrusion-, l'étirage, la texturation ou le tranchage des matières textiles synthétiques ou artificielles ou de leurs machines et appareils auxiliaires, n.d.a.</v>
      </c>
      <c r="C3254">
        <v>689414</v>
      </c>
      <c r="D3254">
        <v>1600</v>
      </c>
    </row>
    <row r="3255" spans="1:4" x14ac:dyDescent="0.25">
      <c r="A3255" t="str">
        <f>T("   845229")</f>
        <v xml:space="preserve">   845229</v>
      </c>
      <c r="B3255" t="str">
        <f>T("   Machines à coudre de type industriel (sauf unités automatiques)")</f>
        <v xml:space="preserve">   Machines à coudre de type industriel (sauf unités automatiques)</v>
      </c>
      <c r="C3255">
        <v>2232127</v>
      </c>
      <c r="D3255">
        <v>899</v>
      </c>
    </row>
    <row r="3256" spans="1:4" x14ac:dyDescent="0.25">
      <c r="A3256" t="str">
        <f>T("   846190")</f>
        <v xml:space="preserve">   846190</v>
      </c>
      <c r="B3256" t="str">
        <f>T("   Machines à raboter et autres machines-outils travaillant par enlèvement de métal, n.d.a.")</f>
        <v xml:space="preserve">   Machines à raboter et autres machines-outils travaillant par enlèvement de métal, n.d.a.</v>
      </c>
      <c r="C3256">
        <v>670201</v>
      </c>
      <c r="D3256">
        <v>230</v>
      </c>
    </row>
    <row r="3257" spans="1:4" x14ac:dyDescent="0.25">
      <c r="A3257" t="str">
        <f>T("   846390")</f>
        <v xml:space="preserve">   846390</v>
      </c>
      <c r="B3257" t="s">
        <v>430</v>
      </c>
      <c r="C3257">
        <v>591350</v>
      </c>
      <c r="D3257">
        <v>2000</v>
      </c>
    </row>
    <row r="3258" spans="1:4" x14ac:dyDescent="0.25">
      <c r="A3258" t="str">
        <f>T("   846591")</f>
        <v xml:space="preserve">   846591</v>
      </c>
      <c r="B3258" t="str">
        <f>T("   Machines à scier, pour le travail du bois, des matières plastiques dures, etc. (autres que pour emploi à la main)")</f>
        <v xml:space="preserve">   Machines à scier, pour le travail du bois, des matières plastiques dures, etc. (autres que pour emploi à la main)</v>
      </c>
      <c r="C3258">
        <v>746020</v>
      </c>
      <c r="D3258">
        <v>500</v>
      </c>
    </row>
    <row r="3259" spans="1:4" x14ac:dyDescent="0.25">
      <c r="A3259" t="str">
        <f>T("   846719")</f>
        <v xml:space="preserve">   846719</v>
      </c>
      <c r="B3259" t="str">
        <f>T("   OUTILS PNEUMATIQUES, POUR EMPLOI À LA MAIN (À L'EXCL. DES OUTILS ROTATIFS) [01/01/1988-31/12/1994: OUTILS PNEUMATIQUES POUR EMPLOI A LA MAIN, AUTRES QUE ROTATIFS]")</f>
        <v xml:space="preserve">   OUTILS PNEUMATIQUES, POUR EMPLOI À LA MAIN (À L'EXCL. DES OUTILS ROTATIFS) [01/01/1988-31/12/1994: OUTILS PNEUMATIQUES POUR EMPLOI A LA MAIN, AUTRES QUE ROTATIFS]</v>
      </c>
      <c r="C3259">
        <v>1600000</v>
      </c>
      <c r="D3259">
        <v>1150</v>
      </c>
    </row>
    <row r="3260" spans="1:4" x14ac:dyDescent="0.25">
      <c r="A3260" t="str">
        <f>T("   846920")</f>
        <v xml:space="preserve">   846920</v>
      </c>
      <c r="B3260" t="str">
        <f>T("   Machines à écrire électriques (à l'excl. des machines à écrire automatiques, des unités pour machines automatiques de traitement de l'information du n° 8471, ainsi que des imprimantes au laser, thermiques ou électrosensibles)")</f>
        <v xml:space="preserve">   Machines à écrire électriques (à l'excl. des machines à écrire automatiques, des unités pour machines automatiques de traitement de l'information du n° 8471, ainsi que des imprimantes au laser, thermiques ou électrosensibles)</v>
      </c>
      <c r="C3260">
        <v>200724</v>
      </c>
      <c r="D3260">
        <v>125</v>
      </c>
    </row>
    <row r="3261" spans="1:4" x14ac:dyDescent="0.25">
      <c r="A3261" t="str">
        <f>T("   846930")</f>
        <v xml:space="preserve">   846930</v>
      </c>
      <c r="B3261" t="str">
        <f>T("   Machines à écrire non-électriques")</f>
        <v xml:space="preserve">   Machines à écrire non-électriques</v>
      </c>
      <c r="C3261">
        <v>50000</v>
      </c>
      <c r="D3261">
        <v>235</v>
      </c>
    </row>
    <row r="3262" spans="1:4" x14ac:dyDescent="0.25">
      <c r="A3262" t="str">
        <f>T("   847130")</f>
        <v xml:space="preserve">   847130</v>
      </c>
      <c r="B3262" t="str">
        <f>T("   Machines automatiques de traitement de l'information numériques, portatives, d'un poids &lt;= 10 kg, comportant au moins une unité centrale de traitement, un clavier et un écran (à l'excl. des unités périphériques)")</f>
        <v xml:space="preserve">   Machines automatiques de traitement de l'information numériques, portatives, d'un poids &lt;= 10 kg, comportant au moins une unité centrale de traitement, un clavier et un écran (à l'excl. des unités périphériques)</v>
      </c>
      <c r="C3262">
        <v>122009</v>
      </c>
      <c r="D3262">
        <v>1</v>
      </c>
    </row>
    <row r="3263" spans="1:4" x14ac:dyDescent="0.25">
      <c r="A3263" t="str">
        <f>T("   847141")</f>
        <v xml:space="preserve">   847141</v>
      </c>
      <c r="B3263" t="s">
        <v>436</v>
      </c>
      <c r="C3263">
        <v>1393915</v>
      </c>
      <c r="D3263">
        <v>38</v>
      </c>
    </row>
    <row r="3264" spans="1:4" x14ac:dyDescent="0.25">
      <c r="A3264" t="str">
        <f>T("   847149")</f>
        <v xml:space="preserve">   847149</v>
      </c>
      <c r="B3264" t="s">
        <v>437</v>
      </c>
      <c r="C3264">
        <v>6772787</v>
      </c>
      <c r="D3264">
        <v>13180</v>
      </c>
    </row>
    <row r="3265" spans="1:4" x14ac:dyDescent="0.25">
      <c r="A3265" t="str">
        <f>T("   847160")</f>
        <v xml:space="preserve">   847160</v>
      </c>
      <c r="B3265" t="str">
        <f>T("   UNITÉS D'ENTRÉE OU DE SORTIE POUR MACHINES AUTOMATIQUES DE TRAITEMENT DE L'INFORMATION, POUVANT COMPORTER, SOUS LA MÊME ENVELOPPE, DES UNITÉS DE MÉMOIRE")</f>
        <v xml:space="preserve">   UNITÉS D'ENTRÉE OU DE SORTIE POUR MACHINES AUTOMATIQUES DE TRAITEMENT DE L'INFORMATION, POUVANT COMPORTER, SOUS LA MÊME ENVELOPPE, DES UNITÉS DE MÉMOIRE</v>
      </c>
      <c r="C3265">
        <v>1238452</v>
      </c>
      <c r="D3265">
        <v>12</v>
      </c>
    </row>
    <row r="3266" spans="1:4" x14ac:dyDescent="0.25">
      <c r="A3266" t="str">
        <f>T("   847170")</f>
        <v xml:space="preserve">   847170</v>
      </c>
      <c r="B3266" t="str">
        <f>T("   UNITÉS DE MÉMOIRE POUR MACHINES AUTOMATIQUES DE TRAITEMENT DE L'INFORMATION")</f>
        <v xml:space="preserve">   UNITÉS DE MÉMOIRE POUR MACHINES AUTOMATIQUES DE TRAITEMENT DE L'INFORMATION</v>
      </c>
      <c r="C3266">
        <v>1633996</v>
      </c>
      <c r="D3266">
        <v>2746</v>
      </c>
    </row>
    <row r="3267" spans="1:4" x14ac:dyDescent="0.25">
      <c r="A3267" t="str">
        <f>T("   847180")</f>
        <v xml:space="preserve">   847180</v>
      </c>
      <c r="B3267"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3267">
        <v>30174</v>
      </c>
      <c r="D3267">
        <v>10</v>
      </c>
    </row>
    <row r="3268" spans="1:4" x14ac:dyDescent="0.25">
      <c r="A3268" t="str">
        <f>T("   847190")</f>
        <v xml:space="preserve">   847190</v>
      </c>
      <c r="B3268"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3268">
        <v>1193191</v>
      </c>
      <c r="D3268">
        <v>736</v>
      </c>
    </row>
    <row r="3269" spans="1:4" x14ac:dyDescent="0.25">
      <c r="A3269" t="str">
        <f>T("   847290")</f>
        <v xml:space="preserve">   847290</v>
      </c>
      <c r="B3269" t="str">
        <f>T("   Machines et appareils de bureau, n.d.a.")</f>
        <v xml:space="preserve">   Machines et appareils de bureau, n.d.a.</v>
      </c>
      <c r="C3269">
        <v>12141629</v>
      </c>
      <c r="D3269">
        <v>1520</v>
      </c>
    </row>
    <row r="3270" spans="1:4" x14ac:dyDescent="0.25">
      <c r="A3270" t="str">
        <f>T("   847330")</f>
        <v xml:space="preserve">   847330</v>
      </c>
      <c r="B3270" t="str">
        <f>T("   Parties et accessoires pour machines automatiques de traitement de l'information ou pour autres machines du n° 8471, n.d.a.")</f>
        <v xml:space="preserve">   Parties et accessoires pour machines automatiques de traitement de l'information ou pour autres machines du n° 8471, n.d.a.</v>
      </c>
      <c r="C3270">
        <v>5695545</v>
      </c>
      <c r="D3270">
        <v>39.5</v>
      </c>
    </row>
    <row r="3271" spans="1:4" x14ac:dyDescent="0.25">
      <c r="A3271" t="str">
        <f>T("   847340")</f>
        <v xml:space="preserve">   847340</v>
      </c>
      <c r="B3271" t="str">
        <f>T("   Parties et accessoires pour autres machines et appareils de bureau du n° 8472, n.d.a.")</f>
        <v xml:space="preserve">   Parties et accessoires pour autres machines et appareils de bureau du n° 8472, n.d.a.</v>
      </c>
      <c r="C3271">
        <v>208904</v>
      </c>
      <c r="D3271">
        <v>0.5</v>
      </c>
    </row>
    <row r="3272" spans="1:4" x14ac:dyDescent="0.25">
      <c r="A3272" t="str">
        <f>T("   847480")</f>
        <v xml:space="preserve">   847480</v>
      </c>
      <c r="B3272" t="s">
        <v>440</v>
      </c>
      <c r="C3272">
        <v>3784800</v>
      </c>
      <c r="D3272">
        <v>1201</v>
      </c>
    </row>
    <row r="3273" spans="1:4" x14ac:dyDescent="0.25">
      <c r="A3273" t="str">
        <f>T("   847490")</f>
        <v xml:space="preserve">   847490</v>
      </c>
      <c r="B3273" t="str">
        <f>T("   Parties des machines et appareils pour le travail des matières minérales du n° 8474, n.d.a.")</f>
        <v xml:space="preserve">   Parties des machines et appareils pour le travail des matières minérales du n° 8474, n.d.a.</v>
      </c>
      <c r="C3273">
        <v>2791024</v>
      </c>
      <c r="D3273">
        <v>30</v>
      </c>
    </row>
    <row r="3274" spans="1:4" x14ac:dyDescent="0.25">
      <c r="A3274" t="str">
        <f>T("   847790")</f>
        <v xml:space="preserve">   847790</v>
      </c>
      <c r="B3274" t="str">
        <f>T("   Parties des machines et appareils pour le travail du caoutchouc ou des matières plastiques ou pour la fabrication de produits en ces matières, n.d.a.")</f>
        <v xml:space="preserve">   Parties des machines et appareils pour le travail du caoutchouc ou des matières plastiques ou pour la fabrication de produits en ces matières, n.d.a.</v>
      </c>
      <c r="C3274">
        <v>9495677</v>
      </c>
      <c r="D3274">
        <v>134</v>
      </c>
    </row>
    <row r="3275" spans="1:4" x14ac:dyDescent="0.25">
      <c r="A3275" t="str">
        <f>T("   847982")</f>
        <v xml:space="preserve">   847982</v>
      </c>
      <c r="B3275" t="str">
        <f>T("   Machines et appareils à mélanger, malaxer, concasser, broyer, cribler, tamiser, homogénéiser, émulsionner ou brasser, n.d.a. (à l'excl. des robots industriels)")</f>
        <v xml:space="preserve">   Machines et appareils à mélanger, malaxer, concasser, broyer, cribler, tamiser, homogénéiser, émulsionner ou brasser, n.d.a. (à l'excl. des robots industriels)</v>
      </c>
      <c r="C3275">
        <v>121054</v>
      </c>
      <c r="D3275">
        <v>10</v>
      </c>
    </row>
    <row r="3276" spans="1:4" x14ac:dyDescent="0.25">
      <c r="A3276" t="str">
        <f>T("   847990")</f>
        <v xml:space="preserve">   847990</v>
      </c>
      <c r="B3276" t="str">
        <f>T("   Parties de machines et appareils, y.c. les appareils mécaniques, n.d.a.")</f>
        <v xml:space="preserve">   Parties de machines et appareils, y.c. les appareils mécaniques, n.d.a.</v>
      </c>
      <c r="C3276">
        <v>297806</v>
      </c>
      <c r="D3276">
        <v>5</v>
      </c>
    </row>
    <row r="3277" spans="1:4" x14ac:dyDescent="0.25">
      <c r="A3277" t="str">
        <f>T("   848110")</f>
        <v xml:space="preserve">   848110</v>
      </c>
      <c r="B3277" t="str">
        <f>T("   Détendeurs")</f>
        <v xml:space="preserve">   Détendeurs</v>
      </c>
      <c r="C3277">
        <v>329376</v>
      </c>
      <c r="D3277">
        <v>20</v>
      </c>
    </row>
    <row r="3278" spans="1:4" x14ac:dyDescent="0.25">
      <c r="A3278" t="str">
        <f>T("   848120")</f>
        <v xml:space="preserve">   848120</v>
      </c>
      <c r="B3278" t="str">
        <f>T("   Valves pour transmissions oléohydrauliques ou pneumatiques")</f>
        <v xml:space="preserve">   Valves pour transmissions oléohydrauliques ou pneumatiques</v>
      </c>
      <c r="C3278">
        <v>5419102</v>
      </c>
      <c r="D3278">
        <v>34.979999999999997</v>
      </c>
    </row>
    <row r="3279" spans="1:4" x14ac:dyDescent="0.25">
      <c r="A3279" t="str">
        <f>T("   848130")</f>
        <v xml:space="preserve">   848130</v>
      </c>
      <c r="B3279" t="str">
        <f>T("   Clapets et soupapes de retenue, pour tuyauteries, chaudières, réservoirs, cuves ou contenants simil.")</f>
        <v xml:space="preserve">   Clapets et soupapes de retenue, pour tuyauteries, chaudières, réservoirs, cuves ou contenants simil.</v>
      </c>
      <c r="C3279">
        <v>444085</v>
      </c>
      <c r="D3279">
        <v>1</v>
      </c>
    </row>
    <row r="3280" spans="1:4" x14ac:dyDescent="0.25">
      <c r="A3280" t="str">
        <f>T("   848180")</f>
        <v xml:space="preserve">   848180</v>
      </c>
      <c r="B3280"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3280">
        <v>35930417</v>
      </c>
      <c r="D3280">
        <v>957.07</v>
      </c>
    </row>
    <row r="3281" spans="1:4" x14ac:dyDescent="0.25">
      <c r="A3281" t="str">
        <f>T("   848190")</f>
        <v xml:space="preserve">   848190</v>
      </c>
      <c r="B3281" t="str">
        <f>T("   Parties d'articles de robinetterie et organes simil. pour tuyauterie, etc., n.d.a.")</f>
        <v xml:space="preserve">   Parties d'articles de robinetterie et organes simil. pour tuyauterie, etc., n.d.a.</v>
      </c>
      <c r="C3281">
        <v>2277618</v>
      </c>
      <c r="D3281">
        <v>10</v>
      </c>
    </row>
    <row r="3282" spans="1:4" x14ac:dyDescent="0.25">
      <c r="A3282" t="str">
        <f>T("   848210")</f>
        <v xml:space="preserve">   848210</v>
      </c>
      <c r="B3282" t="str">
        <f>T("   Roulements à billes")</f>
        <v xml:space="preserve">   Roulements à billes</v>
      </c>
      <c r="C3282">
        <v>3999743</v>
      </c>
      <c r="D3282">
        <v>275.75</v>
      </c>
    </row>
    <row r="3283" spans="1:4" x14ac:dyDescent="0.25">
      <c r="A3283" t="str">
        <f>T("   848240")</f>
        <v xml:space="preserve">   848240</v>
      </c>
      <c r="B3283" t="str">
        <f>T("   Roulements à aiguilles")</f>
        <v xml:space="preserve">   Roulements à aiguilles</v>
      </c>
      <c r="C3283">
        <v>205315</v>
      </c>
      <c r="D3283">
        <v>1</v>
      </c>
    </row>
    <row r="3284" spans="1:4" x14ac:dyDescent="0.25">
      <c r="A3284" t="str">
        <f>T("   848280")</f>
        <v xml:space="preserve">   848280</v>
      </c>
      <c r="B3284" t="s">
        <v>447</v>
      </c>
      <c r="C3284">
        <v>16671879</v>
      </c>
      <c r="D3284">
        <v>316</v>
      </c>
    </row>
    <row r="3285" spans="1:4" x14ac:dyDescent="0.25">
      <c r="A3285" t="str">
        <f>T("   848291")</f>
        <v xml:space="preserve">   848291</v>
      </c>
      <c r="B3285" t="str">
        <f>T("   Billes, galets, rouleaux et aiguilles pour roulements (sauf billes en acier du n° 7326)")</f>
        <v xml:space="preserve">   Billes, galets, rouleaux et aiguilles pour roulements (sauf billes en acier du n° 7326)</v>
      </c>
      <c r="C3285">
        <v>101674</v>
      </c>
      <c r="D3285">
        <v>1</v>
      </c>
    </row>
    <row r="3286" spans="1:4" x14ac:dyDescent="0.25">
      <c r="A3286" t="str">
        <f>T("   848310")</f>
        <v xml:space="preserve">   848310</v>
      </c>
      <c r="B3286" t="str">
        <f>T("   Arbres de transmission pour machines, y.c. -les arbres à cames et les vilebrequins- et manivelles")</f>
        <v xml:space="preserve">   Arbres de transmission pour machines, y.c. -les arbres à cames et les vilebrequins- et manivelles</v>
      </c>
      <c r="C3286">
        <v>182357</v>
      </c>
      <c r="D3286">
        <v>1</v>
      </c>
    </row>
    <row r="3287" spans="1:4" x14ac:dyDescent="0.25">
      <c r="A3287" t="str">
        <f>T("   848330")</f>
        <v xml:space="preserve">   848330</v>
      </c>
      <c r="B3287" t="str">
        <f>T("   Paliers pour machines, sans roulements incorporés; coussinets et coquilles de coussinets pour machines")</f>
        <v xml:space="preserve">   Paliers pour machines, sans roulements incorporés; coussinets et coquilles de coussinets pour machines</v>
      </c>
      <c r="C3287">
        <v>862588</v>
      </c>
      <c r="D3287">
        <v>2</v>
      </c>
    </row>
    <row r="3288" spans="1:4" x14ac:dyDescent="0.25">
      <c r="A3288" t="str">
        <f>T("   848340")</f>
        <v xml:space="preserve">   848340</v>
      </c>
      <c r="B3288" t="s">
        <v>448</v>
      </c>
      <c r="C3288">
        <v>14276969</v>
      </c>
      <c r="D3288">
        <v>3200</v>
      </c>
    </row>
    <row r="3289" spans="1:4" x14ac:dyDescent="0.25">
      <c r="A3289" t="str">
        <f>T("   848350")</f>
        <v xml:space="preserve">   848350</v>
      </c>
      <c r="B3289" t="str">
        <f>T("   Volants et poulies, y.c. les poulies à moufles")</f>
        <v xml:space="preserve">   Volants et poulies, y.c. les poulies à moufles</v>
      </c>
      <c r="C3289">
        <v>16626047</v>
      </c>
      <c r="D3289">
        <v>986</v>
      </c>
    </row>
    <row r="3290" spans="1:4" x14ac:dyDescent="0.25">
      <c r="A3290" t="str">
        <f>T("   848360")</f>
        <v xml:space="preserve">   848360</v>
      </c>
      <c r="B3290" t="str">
        <f>T("   Embrayages et organes d'accouplement, y.c. les joints d'articulation, pour machines")</f>
        <v xml:space="preserve">   Embrayages et organes d'accouplement, y.c. les joints d'articulation, pour machines</v>
      </c>
      <c r="C3290">
        <v>4102374</v>
      </c>
      <c r="D3290">
        <v>102</v>
      </c>
    </row>
    <row r="3291" spans="1:4" x14ac:dyDescent="0.25">
      <c r="A3291" t="str">
        <f>T("   848390")</f>
        <v xml:space="preserve">   848390</v>
      </c>
      <c r="B3291" t="str">
        <f>T("   Roues dentées et autres organes élémentaires de transmission présentés séparément; parties d'organes mécaniques, d'organes de transmission, d'engrenages, de variateurs de vitesses, d'organes d'accouplement et d'autres organes du n° 8483, n.d.a.")</f>
        <v xml:space="preserve">   Roues dentées et autres organes élémentaires de transmission présentés séparément; parties d'organes mécaniques, d'organes de transmission, d'engrenages, de variateurs de vitesses, d'organes d'accouplement et d'autres organes du n° 8483, n.d.a.</v>
      </c>
      <c r="C3291">
        <v>4390223</v>
      </c>
      <c r="D3291">
        <v>175</v>
      </c>
    </row>
    <row r="3292" spans="1:4" x14ac:dyDescent="0.25">
      <c r="A3292" t="str">
        <f>T("   848410")</f>
        <v xml:space="preserve">   848410</v>
      </c>
      <c r="B3292" t="str">
        <f>T("   Joints métalloplastiques")</f>
        <v xml:space="preserve">   Joints métalloplastiques</v>
      </c>
      <c r="C3292">
        <v>154830</v>
      </c>
      <c r="D3292">
        <v>10</v>
      </c>
    </row>
    <row r="3293" spans="1:4" x14ac:dyDescent="0.25">
      <c r="A3293" t="str">
        <f>T("   848420")</f>
        <v xml:space="preserve">   848420</v>
      </c>
      <c r="B3293" t="str">
        <f>T("   Joints d'étanchéité mécaniques")</f>
        <v xml:space="preserve">   Joints d'étanchéité mécaniques</v>
      </c>
      <c r="C3293">
        <v>6217438</v>
      </c>
      <c r="D3293">
        <v>14</v>
      </c>
    </row>
    <row r="3294" spans="1:4" x14ac:dyDescent="0.25">
      <c r="A3294" t="str">
        <f>T("   848490")</f>
        <v xml:space="preserve">   848490</v>
      </c>
      <c r="B3294" t="str">
        <f>T("   Jeux ou assortiments de joints de composition différente présentés en pochettes, enveloppes ou emballages analogues")</f>
        <v xml:space="preserve">   Jeux ou assortiments de joints de composition différente présentés en pochettes, enveloppes ou emballages analogues</v>
      </c>
      <c r="C3294">
        <v>28915096</v>
      </c>
      <c r="D3294">
        <v>519.25</v>
      </c>
    </row>
    <row r="3295" spans="1:4" x14ac:dyDescent="0.25">
      <c r="A3295" t="str">
        <f>T("   850110")</f>
        <v xml:space="preserve">   850110</v>
      </c>
      <c r="B3295" t="str">
        <f>T("   Moteurs d'une puissance &lt;= 37,5 W")</f>
        <v xml:space="preserve">   Moteurs d'une puissance &lt;= 37,5 W</v>
      </c>
      <c r="C3295">
        <v>2303076</v>
      </c>
      <c r="D3295">
        <v>1000</v>
      </c>
    </row>
    <row r="3296" spans="1:4" x14ac:dyDescent="0.25">
      <c r="A3296" t="str">
        <f>T("   850132")</f>
        <v xml:space="preserve">   850132</v>
      </c>
      <c r="B3296" t="str">
        <f>T("   Moteurs et génératrices à courant continu, puissance &gt; 750 W mais &lt;= 75 kW")</f>
        <v xml:space="preserve">   Moteurs et génératrices à courant continu, puissance &gt; 750 W mais &lt;= 75 kW</v>
      </c>
      <c r="C3296">
        <v>329342</v>
      </c>
      <c r="D3296">
        <v>150</v>
      </c>
    </row>
    <row r="3297" spans="1:4" x14ac:dyDescent="0.25">
      <c r="A3297" t="str">
        <f>T("   850151")</f>
        <v xml:space="preserve">   850151</v>
      </c>
      <c r="B3297" t="str">
        <f>T("   Moteurs à courant alternatif, polyphasés, puissance &gt; 37,5 W mais &lt;= 750 W")</f>
        <v xml:space="preserve">   Moteurs à courant alternatif, polyphasés, puissance &gt; 37,5 W mais &lt;= 750 W</v>
      </c>
      <c r="C3297">
        <v>482786</v>
      </c>
      <c r="D3297">
        <v>9</v>
      </c>
    </row>
    <row r="3298" spans="1:4" x14ac:dyDescent="0.25">
      <c r="A3298" t="str">
        <f>T("   850152")</f>
        <v xml:space="preserve">   850152</v>
      </c>
      <c r="B3298" t="str">
        <f>T("   Moteurs à courant alternatif, polyphasés, puissance &gt; 750 W mais &lt;= 75 kW")</f>
        <v xml:space="preserve">   Moteurs à courant alternatif, polyphasés, puissance &gt; 750 W mais &lt;= 75 kW</v>
      </c>
      <c r="C3298">
        <v>822574</v>
      </c>
      <c r="D3298">
        <v>18</v>
      </c>
    </row>
    <row r="3299" spans="1:4" x14ac:dyDescent="0.25">
      <c r="A3299" t="str">
        <f>T("   850212")</f>
        <v xml:space="preserve">   850212</v>
      </c>
      <c r="B3299"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3299">
        <v>100362</v>
      </c>
      <c r="D3299">
        <v>50</v>
      </c>
    </row>
    <row r="3300" spans="1:4" x14ac:dyDescent="0.25">
      <c r="A3300" t="str">
        <f>T("   850239")</f>
        <v xml:space="preserve">   850239</v>
      </c>
      <c r="B3300" t="str">
        <f>T("   Groupes électrogènes (autres qu'à énergie éolienne et à moteurs à piston)")</f>
        <v xml:space="preserve">   Groupes électrogènes (autres qu'à énergie éolienne et à moteurs à piston)</v>
      </c>
      <c r="C3300">
        <v>3000000</v>
      </c>
      <c r="D3300">
        <v>1190</v>
      </c>
    </row>
    <row r="3301" spans="1:4" x14ac:dyDescent="0.25">
      <c r="A3301" t="str">
        <f>T("   850300")</f>
        <v xml:space="preserve">   850300</v>
      </c>
      <c r="B3301" t="str">
        <f>T("   Parties reconnaissables comme étant exclusivement ou principalement destinées aux moteurs et machines génératrices électriques, groupes électrogènes ou convertisseurs rotatifs électriques n.d.a.")</f>
        <v xml:space="preserve">   Parties reconnaissables comme étant exclusivement ou principalement destinées aux moteurs et machines génératrices électriques, groupes électrogènes ou convertisseurs rotatifs électriques n.d.a.</v>
      </c>
      <c r="C3301">
        <v>2206101</v>
      </c>
      <c r="D3301">
        <v>103</v>
      </c>
    </row>
    <row r="3302" spans="1:4" x14ac:dyDescent="0.25">
      <c r="A3302" t="str">
        <f>T("   850432")</f>
        <v xml:space="preserve">   850432</v>
      </c>
      <c r="B3302" t="str">
        <f>T("   Transformateurs à sec, puissance &gt; 1 kVA mais &lt;= 16 kVA")</f>
        <v xml:space="preserve">   Transformateurs à sec, puissance &gt; 1 kVA mais &lt;= 16 kVA</v>
      </c>
      <c r="C3302">
        <v>8003600</v>
      </c>
      <c r="D3302">
        <v>10955</v>
      </c>
    </row>
    <row r="3303" spans="1:4" x14ac:dyDescent="0.25">
      <c r="A3303" t="str">
        <f>T("   850433")</f>
        <v xml:space="preserve">   850433</v>
      </c>
      <c r="B3303" t="str">
        <f>T("   Transformateurs à sec, puissance &gt; 16 kVA mais &lt;= 500 kVA")</f>
        <v xml:space="preserve">   Transformateurs à sec, puissance &gt; 16 kVA mais &lt;= 500 kVA</v>
      </c>
      <c r="C3303">
        <v>52464993</v>
      </c>
      <c r="D3303">
        <v>4098</v>
      </c>
    </row>
    <row r="3304" spans="1:4" x14ac:dyDescent="0.25">
      <c r="A3304" t="str">
        <f>T("   850440")</f>
        <v xml:space="preserve">   850440</v>
      </c>
      <c r="B3304" t="str">
        <f>T("   CONVERTISSEURS STATIQUES")</f>
        <v xml:space="preserve">   CONVERTISSEURS STATIQUES</v>
      </c>
      <c r="C3304">
        <v>7210641</v>
      </c>
      <c r="D3304">
        <v>290.5</v>
      </c>
    </row>
    <row r="3305" spans="1:4" x14ac:dyDescent="0.25">
      <c r="A3305" t="str">
        <f>T("   850590")</f>
        <v xml:space="preserve">   850590</v>
      </c>
      <c r="B3305" t="str">
        <f>T("   ÉLECTRO-AIMANTS (AUTRES QU'À USAGES MÉDICAUX), TÊTES DE LEVAGE ÉLECTROMAGNÉTIQUES AINSI QUE PLATEAUX, MANDRINS ET DISPOSITIFS MAGNÉTIQUES OU ÉLECTROMAGNÉTIQUES SIMIL. DE FIXATION ET LEURS PARTIES N.D.A.")</f>
        <v xml:space="preserve">   ÉLECTRO-AIMANTS (AUTRES QU'À USAGES MÉDICAUX), TÊTES DE LEVAGE ÉLECTROMAGNÉTIQUES AINSI QUE PLATEAUX, MANDRINS ET DISPOSITIFS MAGNÉTIQUES OU ÉLECTROMAGNÉTIQUES SIMIL. DE FIXATION ET LEURS PARTIES N.D.A.</v>
      </c>
      <c r="C3305">
        <v>156774</v>
      </c>
      <c r="D3305">
        <v>1</v>
      </c>
    </row>
    <row r="3306" spans="1:4" x14ac:dyDescent="0.25">
      <c r="A3306" t="str">
        <f>T("   850610")</f>
        <v xml:space="preserve">   850610</v>
      </c>
      <c r="B3306" t="str">
        <f>T("   Piles et batteries de piles électriques, au bioxyde de manganèse (sauf hors d'usage)")</f>
        <v xml:space="preserve">   Piles et batteries de piles électriques, au bioxyde de manganèse (sauf hors d'usage)</v>
      </c>
      <c r="C3306">
        <v>154830</v>
      </c>
      <c r="D3306">
        <v>30</v>
      </c>
    </row>
    <row r="3307" spans="1:4" x14ac:dyDescent="0.25">
      <c r="A3307" t="str">
        <f>T("   850650")</f>
        <v xml:space="preserve">   850650</v>
      </c>
      <c r="B3307" t="str">
        <f>T("   Piles et batteries de piles électriques, au lithium (sauf hors d'usage)")</f>
        <v xml:space="preserve">   Piles et batteries de piles électriques, au lithium (sauf hors d'usage)</v>
      </c>
      <c r="C3307">
        <v>334068</v>
      </c>
      <c r="D3307">
        <v>3</v>
      </c>
    </row>
    <row r="3308" spans="1:4" x14ac:dyDescent="0.25">
      <c r="A3308" t="str">
        <f>T("   850720")</f>
        <v xml:space="preserve">   850720</v>
      </c>
      <c r="B3308" t="str">
        <f>T("   Accumulateurs au plomb (sauf hors d'usage et autres que pour le démarrage des moteurs à piston)")</f>
        <v xml:space="preserve">   Accumulateurs au plomb (sauf hors d'usage et autres que pour le démarrage des moteurs à piston)</v>
      </c>
      <c r="C3308">
        <v>881610</v>
      </c>
      <c r="D3308">
        <v>38</v>
      </c>
    </row>
    <row r="3309" spans="1:4" x14ac:dyDescent="0.25">
      <c r="A3309" t="str">
        <f>T("   850780")</f>
        <v xml:space="preserve">   850780</v>
      </c>
      <c r="B3309" t="str">
        <f>T("   Accumulateurs électriques (sauf hors d'usage et autres qu'au plomb, au nickel-cadmium ou au nickel-fer)")</f>
        <v xml:space="preserve">   Accumulateurs électriques (sauf hors d'usage et autres qu'au plomb, au nickel-cadmium ou au nickel-fer)</v>
      </c>
      <c r="C3309">
        <v>1093921</v>
      </c>
      <c r="D3309">
        <v>434.5</v>
      </c>
    </row>
    <row r="3310" spans="1:4" x14ac:dyDescent="0.25">
      <c r="A3310" t="str">
        <f>T("   850790")</f>
        <v xml:space="preserve">   850790</v>
      </c>
      <c r="B3310" t="str">
        <f>T("   Plaques, séparateurs et autres parties d'accumulateurs électriques n.d.a.")</f>
        <v xml:space="preserve">   Plaques, séparateurs et autres parties d'accumulateurs électriques n.d.a.</v>
      </c>
      <c r="C3310">
        <v>95974</v>
      </c>
      <c r="D3310">
        <v>2</v>
      </c>
    </row>
    <row r="3311" spans="1:4" x14ac:dyDescent="0.25">
      <c r="A3311" t="str">
        <f>T("   850910")</f>
        <v xml:space="preserve">   850910</v>
      </c>
      <c r="B3311" t="str">
        <f>T("   Aspirateurs de poussières, y.c. les aspirateurs de matières sèches et de matières liquides, à moteur électrique incorporé, à usage domestique")</f>
        <v xml:space="preserve">   Aspirateurs de poussières, y.c. les aspirateurs de matières sèches et de matières liquides, à moteur électrique incorporé, à usage domestique</v>
      </c>
      <c r="C3311">
        <v>336507</v>
      </c>
      <c r="D3311">
        <v>100</v>
      </c>
    </row>
    <row r="3312" spans="1:4" x14ac:dyDescent="0.25">
      <c r="A3312" t="str">
        <f>T("   850980")</f>
        <v xml:space="preserve">   850980</v>
      </c>
      <c r="B3312" t="s">
        <v>452</v>
      </c>
      <c r="C3312">
        <v>2812983</v>
      </c>
      <c r="D3312">
        <v>718</v>
      </c>
    </row>
    <row r="3313" spans="1:4" x14ac:dyDescent="0.25">
      <c r="A3313" t="str">
        <f>T("   851110")</f>
        <v xml:space="preserve">   851110</v>
      </c>
      <c r="B3313" t="str">
        <f>T("   Bougies d'allumage pour moteurs à allumage par étincelles ou par compression")</f>
        <v xml:space="preserve">   Bougies d'allumage pour moteurs à allumage par étincelles ou par compression</v>
      </c>
      <c r="C3313">
        <v>140526</v>
      </c>
      <c r="D3313">
        <v>3</v>
      </c>
    </row>
    <row r="3314" spans="1:4" x14ac:dyDescent="0.25">
      <c r="A3314" t="str">
        <f>T("   851220")</f>
        <v xml:space="preserve">   851220</v>
      </c>
      <c r="B3314" t="str">
        <f>T("   Appareils électriques d'éclairage ou de signalisation visuelle, pour automobiles (à l'excl. des lampes du n° 8539)")</f>
        <v xml:space="preserve">   Appareils électriques d'éclairage ou de signalisation visuelle, pour automobiles (à l'excl. des lampes du n° 8539)</v>
      </c>
      <c r="C3314">
        <v>207452</v>
      </c>
      <c r="D3314">
        <v>25</v>
      </c>
    </row>
    <row r="3315" spans="1:4" x14ac:dyDescent="0.25">
      <c r="A3315" t="str">
        <f>T("   851490")</f>
        <v xml:space="preserve">   851490</v>
      </c>
      <c r="B3315" t="s">
        <v>454</v>
      </c>
      <c r="C3315">
        <v>675851</v>
      </c>
      <c r="D3315">
        <v>7</v>
      </c>
    </row>
    <row r="3316" spans="1:4" x14ac:dyDescent="0.25">
      <c r="A3316" t="str">
        <f>T("   851529")</f>
        <v xml:space="preserve">   851529</v>
      </c>
      <c r="B3316" t="str">
        <f>T("   MACHINES ET APPAREILS POUR LE SOUDAGE DES MÉTAUX PAR RÉSISTANCE, NON-AUTOMATIQUES")</f>
        <v xml:space="preserve">   MACHINES ET APPAREILS POUR LE SOUDAGE DES MÉTAUX PAR RÉSISTANCE, NON-AUTOMATIQUES</v>
      </c>
      <c r="C3316">
        <v>27482057</v>
      </c>
      <c r="D3316">
        <v>1430</v>
      </c>
    </row>
    <row r="3317" spans="1:4" x14ac:dyDescent="0.25">
      <c r="A3317" t="str">
        <f>T("   851640")</f>
        <v xml:space="preserve">   851640</v>
      </c>
      <c r="B3317" t="str">
        <f>T("   Fers à repasser électriques")</f>
        <v xml:space="preserve">   Fers à repasser électriques</v>
      </c>
      <c r="C3317">
        <v>520177</v>
      </c>
      <c r="D3317">
        <v>385</v>
      </c>
    </row>
    <row r="3318" spans="1:4" x14ac:dyDescent="0.25">
      <c r="A3318" t="str">
        <f>T("   851660")</f>
        <v xml:space="preserve">   851660</v>
      </c>
      <c r="B3318" t="str">
        <f>T("   Fours, cuisinières, réchauds, tables de cuisson, grils et rôtissoires électriques, pour usages domestiques (sauf fours destinés au chauffage des locaux et fours à micro-ondes)")</f>
        <v xml:space="preserve">   Fours, cuisinières, réchauds, tables de cuisson, grils et rôtissoires électriques, pour usages domestiques (sauf fours destinés au chauffage des locaux et fours à micro-ondes)</v>
      </c>
      <c r="C3318">
        <v>804515</v>
      </c>
      <c r="D3318">
        <v>450</v>
      </c>
    </row>
    <row r="3319" spans="1:4" x14ac:dyDescent="0.25">
      <c r="A3319" t="str">
        <f>T("   851680")</f>
        <v xml:space="preserve">   851680</v>
      </c>
      <c r="B3319" t="str">
        <f>T("   Résistances chauffantes (autres qu'en charbon aggloméré ou graphite)")</f>
        <v xml:space="preserve">   Résistances chauffantes (autres qu'en charbon aggloméré ou graphite)</v>
      </c>
      <c r="C3319">
        <v>3108595</v>
      </c>
      <c r="D3319">
        <v>37</v>
      </c>
    </row>
    <row r="3320" spans="1:4" x14ac:dyDescent="0.25">
      <c r="A3320" t="str">
        <f>T("   851690")</f>
        <v xml:space="preserve">   851690</v>
      </c>
      <c r="B3320" t="str">
        <f>T("   Parties des chauffe-eau, appareils de chauffage des locaux, appareils électriques pour la coiffure ou pour sécher les mains, appareils électrothermiques pour usages domestiques et résistances chauffantes, n.d.a.")</f>
        <v xml:space="preserve">   Parties des chauffe-eau, appareils de chauffage des locaux, appareils électriques pour la coiffure ou pour sécher les mains, appareils électrothermiques pour usages domestiques et résistances chauffantes, n.d.a.</v>
      </c>
      <c r="C3320">
        <v>97082</v>
      </c>
      <c r="D3320">
        <v>12</v>
      </c>
    </row>
    <row r="3321" spans="1:4" x14ac:dyDescent="0.25">
      <c r="A3321" t="str">
        <f>T("   851711")</f>
        <v xml:space="preserve">   851711</v>
      </c>
      <c r="B3321" t="str">
        <f>T("   Postes téléphoniques d'usagers pour la téléphonie par fil à combinés sans fil")</f>
        <v xml:space="preserve">   Postes téléphoniques d'usagers pour la téléphonie par fil à combinés sans fil</v>
      </c>
      <c r="C3321">
        <v>6058984</v>
      </c>
      <c r="D3321">
        <v>3048</v>
      </c>
    </row>
    <row r="3322" spans="1:4" x14ac:dyDescent="0.25">
      <c r="A3322" t="str">
        <f>T("   851780")</f>
        <v xml:space="preserve">   851780</v>
      </c>
      <c r="B3322" t="s">
        <v>458</v>
      </c>
      <c r="C3322">
        <v>1356525</v>
      </c>
      <c r="D3322">
        <v>4.5</v>
      </c>
    </row>
    <row r="3323" spans="1:4" x14ac:dyDescent="0.25">
      <c r="A3323" t="str">
        <f>T("   851790")</f>
        <v xml:space="preserve">   851790</v>
      </c>
      <c r="B3323" t="s">
        <v>459</v>
      </c>
      <c r="C3323">
        <v>1183652</v>
      </c>
      <c r="D3323">
        <v>77</v>
      </c>
    </row>
    <row r="3324" spans="1:4" x14ac:dyDescent="0.25">
      <c r="A3324" t="str">
        <f>T("   851829")</f>
        <v xml:space="preserve">   851829</v>
      </c>
      <c r="B3324" t="str">
        <f>T("   Haut-parleurs sans enceinte")</f>
        <v xml:space="preserve">   Haut-parleurs sans enceinte</v>
      </c>
      <c r="C3324">
        <v>2000000</v>
      </c>
      <c r="D3324">
        <v>1500</v>
      </c>
    </row>
    <row r="3325" spans="1:4" x14ac:dyDescent="0.25">
      <c r="A3325" t="str">
        <f>T("   852390")</f>
        <v xml:space="preserve">   852390</v>
      </c>
      <c r="B3325" t="str">
        <f>T("   SUPPORTS PRÉPARÉS POUR L'ENREGISTREMENT DU SON OU POUR ENREGISTREMENTS ANALOGUES, NON-ENREGISTRÉS (AUTRES QUE BANDES ET DISQUES MAGNÉTIQUES, CARTES MUNIES D'UNE PISTE MAGNÉTIQUE ET PRODUITS DU CHAPITRE 37)")</f>
        <v xml:space="preserve">   SUPPORTS PRÉPARÉS POUR L'ENREGISTREMENT DU SON OU POUR ENREGISTREMENTS ANALOGUES, NON-ENREGISTRÉS (AUTRES QUE BANDES ET DISQUES MAGNÉTIQUES, CARTES MUNIES D'UNE PISTE MAGNÉTIQUE ET PRODUITS DU CHAPITRE 37)</v>
      </c>
      <c r="C3325">
        <v>142671</v>
      </c>
      <c r="D3325">
        <v>0.69</v>
      </c>
    </row>
    <row r="3326" spans="1:4" x14ac:dyDescent="0.25">
      <c r="A3326" t="str">
        <f>T("   852520")</f>
        <v xml:space="preserve">   852520</v>
      </c>
      <c r="B3326" t="str">
        <f>T("   Appareils d'émission incorporant un appareil de réception, pour la radiotéléphonie, la radiotélégraphie, la radiodiffusion ou la télévision")</f>
        <v xml:space="preserve">   Appareils d'émission incorporant un appareil de réception, pour la radiotéléphonie, la radiotélégraphie, la radiodiffusion ou la télévision</v>
      </c>
      <c r="C3326">
        <v>1059323</v>
      </c>
      <c r="D3326">
        <v>9</v>
      </c>
    </row>
    <row r="3327" spans="1:4" x14ac:dyDescent="0.25">
      <c r="A3327" t="str">
        <f>T("   852719")</f>
        <v xml:space="preserve">   852719</v>
      </c>
      <c r="B3327" t="str">
        <f>T("   Récepteurs de radiodiffusion pouvant fonctionner sans source d'énergie extérieure, y.c. les appareils recevant également la radiotéléphonie ou la radiotélégraphie, non combinés à un appareil d'enregistrement et de reproduction du son")</f>
        <v xml:space="preserve">   Récepteurs de radiodiffusion pouvant fonctionner sans source d'énergie extérieure, y.c. les appareils recevant également la radiotéléphonie ou la radiotélégraphie, non combinés à un appareil d'enregistrement et de reproduction du son</v>
      </c>
      <c r="C3327">
        <v>80027</v>
      </c>
      <c r="D3327">
        <v>77</v>
      </c>
    </row>
    <row r="3328" spans="1:4" x14ac:dyDescent="0.25">
      <c r="A3328" t="str">
        <f>T("   852812")</f>
        <v xml:space="preserve">   852812</v>
      </c>
      <c r="B3328"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3328">
        <v>3535569</v>
      </c>
      <c r="D3328">
        <v>2014</v>
      </c>
    </row>
    <row r="3329" spans="1:4" x14ac:dyDescent="0.25">
      <c r="A3329" t="str">
        <f>T("   853529")</f>
        <v xml:space="preserve">   853529</v>
      </c>
      <c r="B3329" t="str">
        <f>T("   Disjoncteurs, pour une tension &gt;= 72,5 kV")</f>
        <v xml:space="preserve">   Disjoncteurs, pour une tension &gt;= 72,5 kV</v>
      </c>
      <c r="C3329">
        <v>113628383</v>
      </c>
      <c r="D3329">
        <v>8648</v>
      </c>
    </row>
    <row r="3330" spans="1:4" x14ac:dyDescent="0.25">
      <c r="A3330" t="str">
        <f>T("   853530")</f>
        <v xml:space="preserve">   853530</v>
      </c>
      <c r="B3330" t="str">
        <f>T("   Sectionneurs et interrupteurs, pour une tension &gt; 1.000 V")</f>
        <v xml:space="preserve">   Sectionneurs et interrupteurs, pour une tension &gt; 1.000 V</v>
      </c>
      <c r="C3330">
        <v>65893149</v>
      </c>
      <c r="D3330">
        <v>5146</v>
      </c>
    </row>
    <row r="3331" spans="1:4" x14ac:dyDescent="0.25">
      <c r="A3331" t="str">
        <f>T("   853610")</f>
        <v xml:space="preserve">   853610</v>
      </c>
      <c r="B3331" t="str">
        <f>T("   Fusibles et coupe-circuit à fusibles, pour une tension &lt;= 1.000 V")</f>
        <v xml:space="preserve">   Fusibles et coupe-circuit à fusibles, pour une tension &lt;= 1.000 V</v>
      </c>
      <c r="C3331">
        <v>88299</v>
      </c>
      <c r="D3331">
        <v>4</v>
      </c>
    </row>
    <row r="3332" spans="1:4" x14ac:dyDescent="0.25">
      <c r="A3332" t="str">
        <f>T("   853649")</f>
        <v xml:space="preserve">   853649</v>
      </c>
      <c r="B3332" t="str">
        <f>T("   Relais, pour une tension &gt; 60 V mais &lt;= 1.000 V")</f>
        <v xml:space="preserve">   Relais, pour une tension &gt; 60 V mais &lt;= 1.000 V</v>
      </c>
      <c r="C3332">
        <v>1124971</v>
      </c>
      <c r="D3332">
        <v>1</v>
      </c>
    </row>
    <row r="3333" spans="1:4" x14ac:dyDescent="0.25">
      <c r="A3333" t="str">
        <f>T("   853650")</f>
        <v xml:space="preserve">   853650</v>
      </c>
      <c r="B3333" t="str">
        <f>T("   Interrupteurs, sectionneurs et commutateurs, pour une tension &lt;= 1.000 V (autres que relais et disjoncteurs)")</f>
        <v xml:space="preserve">   Interrupteurs, sectionneurs et commutateurs, pour une tension &lt;= 1.000 V (autres que relais et disjoncteurs)</v>
      </c>
      <c r="C3333">
        <v>6064158</v>
      </c>
      <c r="D3333">
        <v>169</v>
      </c>
    </row>
    <row r="3334" spans="1:4" x14ac:dyDescent="0.25">
      <c r="A3334" t="str">
        <f>T("   853669")</f>
        <v xml:space="preserve">   853669</v>
      </c>
      <c r="B3334" t="str">
        <f>T("   Fiches et prises de courant, pour une tension &lt;= 1.000 V (sauf douilles pour lampes)")</f>
        <v xml:space="preserve">   Fiches et prises de courant, pour une tension &lt;= 1.000 V (sauf douilles pour lampes)</v>
      </c>
      <c r="C3334">
        <v>39841</v>
      </c>
      <c r="D3334">
        <v>3</v>
      </c>
    </row>
    <row r="3335" spans="1:4" x14ac:dyDescent="0.25">
      <c r="A3335" t="str">
        <f>T("   853690")</f>
        <v xml:space="preserve">   853690</v>
      </c>
      <c r="B3335" t="s">
        <v>474</v>
      </c>
      <c r="C3335">
        <v>1784867</v>
      </c>
      <c r="D3335">
        <v>31</v>
      </c>
    </row>
    <row r="3336" spans="1:4" x14ac:dyDescent="0.25">
      <c r="A3336" t="str">
        <f>T("   853710")</f>
        <v xml:space="preserve">   853710</v>
      </c>
      <c r="B3336"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3336">
        <v>37948598</v>
      </c>
      <c r="D3336">
        <v>1256.5</v>
      </c>
    </row>
    <row r="3337" spans="1:4" x14ac:dyDescent="0.25">
      <c r="A3337" t="str">
        <f>T("   853720")</f>
        <v xml:space="preserve">   853720</v>
      </c>
      <c r="B3337"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3337">
        <v>9554713</v>
      </c>
      <c r="D3337">
        <v>314</v>
      </c>
    </row>
    <row r="3338" spans="1:4" x14ac:dyDescent="0.25">
      <c r="A3338" t="str">
        <f>T("   853810")</f>
        <v xml:space="preserve">   853810</v>
      </c>
      <c r="B3338" t="str">
        <f>T("   Tableaux, panneaux, consoles, pupitres, armoires et autres supports pour articles du n° 8537, dépourvus de leurs appareils")</f>
        <v xml:space="preserve">   Tableaux, panneaux, consoles, pupitres, armoires et autres supports pour articles du n° 8537, dépourvus de leurs appareils</v>
      </c>
      <c r="C3338">
        <v>160998</v>
      </c>
      <c r="D3338">
        <v>370</v>
      </c>
    </row>
    <row r="3339" spans="1:4" x14ac:dyDescent="0.25">
      <c r="A3339" t="str">
        <f>T("   853921")</f>
        <v xml:space="preserve">   853921</v>
      </c>
      <c r="B3339" t="str">
        <f>T("   Lampes et tubes halogènes, au tungstène (autres que phares et projecteurs scellés)")</f>
        <v xml:space="preserve">   Lampes et tubes halogènes, au tungstène (autres que phares et projecteurs scellés)</v>
      </c>
      <c r="C3339">
        <v>183530</v>
      </c>
      <c r="D3339">
        <v>8</v>
      </c>
    </row>
    <row r="3340" spans="1:4" x14ac:dyDescent="0.25">
      <c r="A3340" t="str">
        <f>T("   853929")</f>
        <v xml:space="preserve">   853929</v>
      </c>
      <c r="B3340" t="str">
        <f>T("   Lampes et tubes à incandescence électriques (autres que lampes et tubes halogènes, au tungstène, lampes d'une puissance &lt;= 200 W et pour une tension &gt; 100 V, et lampes à rayons ultraviolets ou infrarouges)")</f>
        <v xml:space="preserve">   Lampes et tubes à incandescence électriques (autres que lampes et tubes halogènes, au tungstène, lampes d'une puissance &lt;= 200 W et pour une tension &gt; 100 V, et lampes à rayons ultraviolets ou infrarouges)</v>
      </c>
      <c r="C3340">
        <v>49735</v>
      </c>
      <c r="D3340">
        <v>2</v>
      </c>
    </row>
    <row r="3341" spans="1:4" x14ac:dyDescent="0.25">
      <c r="A3341" t="str">
        <f>T("   853931")</f>
        <v xml:space="preserve">   853931</v>
      </c>
      <c r="B3341" t="str">
        <f>T("   Lampes et tubes à décharge, fluorescents, à cathode chaude")</f>
        <v xml:space="preserve">   Lampes et tubes à décharge, fluorescents, à cathode chaude</v>
      </c>
      <c r="C3341">
        <v>163334</v>
      </c>
      <c r="D3341">
        <v>30</v>
      </c>
    </row>
    <row r="3342" spans="1:4" x14ac:dyDescent="0.25">
      <c r="A3342" t="str">
        <f>T("   854140")</f>
        <v xml:space="preserve">   854140</v>
      </c>
      <c r="B3342" t="str">
        <f>T("   Dispositifs photosensibles à semi-conducteur, y.c. les cellules photovoltaïques même assemblées en modules ou constituées en panneaux; diodes émettrices de lumière (sauf génératrices photovoltaïques)")</f>
        <v xml:space="preserve">   Dispositifs photosensibles à semi-conducteur, y.c. les cellules photovoltaïques même assemblées en modules ou constituées en panneaux; diodes émettrices de lumière (sauf génératrices photovoltaïques)</v>
      </c>
      <c r="C3342">
        <v>5579182</v>
      </c>
      <c r="D3342">
        <v>742</v>
      </c>
    </row>
    <row r="3343" spans="1:4" x14ac:dyDescent="0.25">
      <c r="A3343" t="str">
        <f>T("   854190")</f>
        <v xml:space="preserve">   854190</v>
      </c>
      <c r="B3343" t="str">
        <f>T("   Parties des diodes, transistors et dispositifs simil. à semi-conducteur, dispositifs photosensibles à semi-conducteur, diodes émettrices de lumière et cristaux piézo-électriques montés, n.d.a.")</f>
        <v xml:space="preserve">   Parties des diodes, transistors et dispositifs simil. à semi-conducteur, dispositifs photosensibles à semi-conducteur, diodes émettrices de lumière et cristaux piézo-électriques montés, n.d.a.</v>
      </c>
      <c r="C3343">
        <v>5841323</v>
      </c>
      <c r="D3343">
        <v>5</v>
      </c>
    </row>
    <row r="3344" spans="1:4" x14ac:dyDescent="0.25">
      <c r="A3344" t="str">
        <f>T("   854419")</f>
        <v xml:space="preserve">   854419</v>
      </c>
      <c r="B3344" t="str">
        <f>T("   Fils pour bobinages pour l'électricité, autres qu'en cuivre, isolés")</f>
        <v xml:space="preserve">   Fils pour bobinages pour l'électricité, autres qu'en cuivre, isolés</v>
      </c>
      <c r="C3344">
        <v>14838</v>
      </c>
      <c r="D3344">
        <v>44</v>
      </c>
    </row>
    <row r="3345" spans="1:4" x14ac:dyDescent="0.25">
      <c r="A3345" t="str">
        <f>T("   854449")</f>
        <v xml:space="preserve">   854449</v>
      </c>
      <c r="B3345" t="str">
        <f>T("   CONDUCTEURS ÉLECTRIQUES, POUR TENSION &lt;= 1.000 V, ISOLÉS, SANS PIÈCES DE CONNEXION, N.D.A.")</f>
        <v xml:space="preserve">   CONDUCTEURS ÉLECTRIQUES, POUR TENSION &lt;= 1.000 V, ISOLÉS, SANS PIÈCES DE CONNEXION, N.D.A.</v>
      </c>
      <c r="C3345">
        <v>14109645</v>
      </c>
      <c r="D3345">
        <v>2226</v>
      </c>
    </row>
    <row r="3346" spans="1:4" x14ac:dyDescent="0.25">
      <c r="A3346" t="str">
        <f>T("   854451")</f>
        <v xml:space="preserve">   854451</v>
      </c>
      <c r="B3346" t="str">
        <f>T("   Conducteurs électriques, pour tension &gt; 80 V mais &lt;= 1.000 V, avec pièces de connexion, n.d.a.")</f>
        <v xml:space="preserve">   Conducteurs électriques, pour tension &gt; 80 V mais &lt;= 1.000 V, avec pièces de connexion, n.d.a.</v>
      </c>
      <c r="C3346">
        <v>113561</v>
      </c>
      <c r="D3346">
        <v>1.5</v>
      </c>
    </row>
    <row r="3347" spans="1:4" x14ac:dyDescent="0.25">
      <c r="A3347" t="str">
        <f>T("   854470")</f>
        <v xml:space="preserve">   854470</v>
      </c>
      <c r="B3347" t="str">
        <f>T("   Câbles de fibres optiques constitués de fibres optiques gainées individuellement, comportant également des conducteurs électriques ou munis de pièces de connexion")</f>
        <v xml:space="preserve">   Câbles de fibres optiques constitués de fibres optiques gainées individuellement, comportant également des conducteurs électriques ou munis de pièces de connexion</v>
      </c>
      <c r="C3347">
        <v>234525</v>
      </c>
      <c r="D3347">
        <v>0.5</v>
      </c>
    </row>
    <row r="3348" spans="1:4" x14ac:dyDescent="0.25">
      <c r="A3348" t="str">
        <f>T("   854520")</f>
        <v xml:space="preserve">   854520</v>
      </c>
      <c r="B3348" t="str">
        <f>T("   Balais en charbon, pour usages électriques")</f>
        <v xml:space="preserve">   Balais en charbon, pour usages électriques</v>
      </c>
      <c r="C3348">
        <v>819471</v>
      </c>
      <c r="D3348">
        <v>2</v>
      </c>
    </row>
    <row r="3349" spans="1:4" x14ac:dyDescent="0.25">
      <c r="A3349" t="str">
        <f>T("   870120")</f>
        <v xml:space="preserve">   870120</v>
      </c>
      <c r="B3349" t="str">
        <f>T("   Tracteurs routiers pour semi-remorques")</f>
        <v xml:space="preserve">   Tracteurs routiers pour semi-remorques</v>
      </c>
      <c r="C3349">
        <v>245304003</v>
      </c>
      <c r="D3349">
        <v>613377</v>
      </c>
    </row>
    <row r="3350" spans="1:4" x14ac:dyDescent="0.25">
      <c r="A3350" t="str">
        <f>T("   870210")</f>
        <v xml:space="preserve">   870210</v>
      </c>
      <c r="B3350" t="s">
        <v>477</v>
      </c>
      <c r="C3350">
        <v>52019953</v>
      </c>
      <c r="D3350">
        <v>33401</v>
      </c>
    </row>
    <row r="3351" spans="1:4" x14ac:dyDescent="0.25">
      <c r="A3351" t="str">
        <f>T("   870290")</f>
        <v xml:space="preserve">   870290</v>
      </c>
      <c r="B3351" t="s">
        <v>478</v>
      </c>
      <c r="C3351">
        <v>76930556</v>
      </c>
      <c r="D3351">
        <v>89447</v>
      </c>
    </row>
    <row r="3352" spans="1:4" x14ac:dyDescent="0.25">
      <c r="A3352" t="str">
        <f>T("   870322")</f>
        <v xml:space="preserve">   870322</v>
      </c>
      <c r="B3352" t="s">
        <v>480</v>
      </c>
      <c r="C3352">
        <v>1763141769</v>
      </c>
      <c r="D3352">
        <v>1499871</v>
      </c>
    </row>
    <row r="3353" spans="1:4" x14ac:dyDescent="0.25">
      <c r="A3353" t="str">
        <f>T("   870323")</f>
        <v xml:space="preserve">   870323</v>
      </c>
      <c r="B3353" t="s">
        <v>481</v>
      </c>
      <c r="C3353">
        <v>229106045</v>
      </c>
      <c r="D3353">
        <v>100589</v>
      </c>
    </row>
    <row r="3354" spans="1:4" x14ac:dyDescent="0.25">
      <c r="A3354" t="str">
        <f>T("   870324")</f>
        <v xml:space="preserve">   870324</v>
      </c>
      <c r="B3354" t="s">
        <v>482</v>
      </c>
      <c r="C3354">
        <v>33243032</v>
      </c>
      <c r="D3354">
        <v>9408</v>
      </c>
    </row>
    <row r="3355" spans="1:4" x14ac:dyDescent="0.25">
      <c r="A3355" t="str">
        <f>T("   870332")</f>
        <v xml:space="preserve">   870332</v>
      </c>
      <c r="B3355" t="s">
        <v>484</v>
      </c>
      <c r="C3355">
        <v>53926421</v>
      </c>
      <c r="D3355">
        <v>10883</v>
      </c>
    </row>
    <row r="3356" spans="1:4" x14ac:dyDescent="0.25">
      <c r="A3356" t="str">
        <f>T("   870333")</f>
        <v xml:space="preserve">   870333</v>
      </c>
      <c r="B3356" t="s">
        <v>485</v>
      </c>
      <c r="C3356">
        <v>53582304</v>
      </c>
      <c r="D3356">
        <v>46800</v>
      </c>
    </row>
    <row r="3357" spans="1:4" x14ac:dyDescent="0.25">
      <c r="A3357" t="str">
        <f>T("   870410")</f>
        <v xml:space="preserve">   870410</v>
      </c>
      <c r="B3357" t="str">
        <f>T("   Tombereaux automoteurs utilisés en dehors du réseau routier")</f>
        <v xml:space="preserve">   Tombereaux automoteurs utilisés en dehors du réseau routier</v>
      </c>
      <c r="C3357">
        <v>9010205</v>
      </c>
      <c r="D3357">
        <v>62540</v>
      </c>
    </row>
    <row r="3358" spans="1:4" x14ac:dyDescent="0.25">
      <c r="A3358" t="str">
        <f>T("   870421")</f>
        <v xml:space="preserve">   870421</v>
      </c>
      <c r="B3358" t="s">
        <v>486</v>
      </c>
      <c r="C3358">
        <v>212741971</v>
      </c>
      <c r="D3358">
        <v>156499</v>
      </c>
    </row>
    <row r="3359" spans="1:4" x14ac:dyDescent="0.25">
      <c r="A3359" t="str">
        <f>T("   870422")</f>
        <v xml:space="preserve">   870422</v>
      </c>
      <c r="B3359" t="s">
        <v>487</v>
      </c>
      <c r="C3359">
        <v>88727385</v>
      </c>
      <c r="D3359">
        <v>343095</v>
      </c>
    </row>
    <row r="3360" spans="1:4" x14ac:dyDescent="0.25">
      <c r="A3360" t="str">
        <f>T("   870423")</f>
        <v xml:space="preserve">   870423</v>
      </c>
      <c r="B3360" t="s">
        <v>488</v>
      </c>
      <c r="C3360">
        <v>1571556</v>
      </c>
      <c r="D3360">
        <v>16000</v>
      </c>
    </row>
    <row r="3361" spans="1:4" x14ac:dyDescent="0.25">
      <c r="A3361" t="str">
        <f>T("   870431")</f>
        <v xml:space="preserve">   870431</v>
      </c>
      <c r="B3361" t="s">
        <v>489</v>
      </c>
      <c r="C3361">
        <v>39656367</v>
      </c>
      <c r="D3361">
        <v>47549</v>
      </c>
    </row>
    <row r="3362" spans="1:4" x14ac:dyDescent="0.25">
      <c r="A3362" t="str">
        <f>T("   870490")</f>
        <v xml:space="preserve">   870490</v>
      </c>
      <c r="B3362" t="str">
        <f>T("   Véhicules automobiles pour le transport de marchandises à moteur autre qu'à piston à allumage par étincelles ou moteur diesel ou semi-diesel (sauf tombereaux automoteurs du n° 8704.10, véhicules automobiles à usages spéciaux du n° 8705)")</f>
        <v xml:space="preserve">   Véhicules automobiles pour le transport de marchandises à moteur autre qu'à piston à allumage par étincelles ou moteur diesel ou semi-diesel (sauf tombereaux automoteurs du n° 8704.10, véhicules automobiles à usages spéciaux du n° 8705)</v>
      </c>
      <c r="C3362">
        <v>3600000</v>
      </c>
      <c r="D3362">
        <v>6175</v>
      </c>
    </row>
    <row r="3363" spans="1:4" x14ac:dyDescent="0.25">
      <c r="A3363" t="str">
        <f>T("   870590")</f>
        <v xml:space="preserve">   870590</v>
      </c>
      <c r="B3363" t="s">
        <v>491</v>
      </c>
      <c r="C3363">
        <v>105190401</v>
      </c>
      <c r="D3363">
        <v>6150</v>
      </c>
    </row>
    <row r="3364" spans="1:4" x14ac:dyDescent="0.25">
      <c r="A3364" t="str">
        <f>T("   870829")</f>
        <v xml:space="preserve">   870829</v>
      </c>
      <c r="B3364" t="s">
        <v>493</v>
      </c>
      <c r="C3364">
        <v>2000022</v>
      </c>
      <c r="D3364">
        <v>2000</v>
      </c>
    </row>
    <row r="3365" spans="1:4" x14ac:dyDescent="0.25">
      <c r="A3365" t="str">
        <f>T("   870850")</f>
        <v xml:space="preserve">   870850</v>
      </c>
      <c r="B3365" t="s">
        <v>494</v>
      </c>
      <c r="C3365">
        <v>800000</v>
      </c>
      <c r="D3365">
        <v>1500</v>
      </c>
    </row>
    <row r="3366" spans="1:4" x14ac:dyDescent="0.25">
      <c r="A3366" t="str">
        <f>T("   870870")</f>
        <v xml:space="preserve">   870870</v>
      </c>
      <c r="B3366" t="str">
        <f>T("   ROUES, LEURS PARTIES ET ACCESSOIRES POUR TRACTEURS, VÉHICULES POUR LE TRANSPORT DE &gt;= 10 PERSONNES, CHAUFFEUR INCLUS, VOITURES DE TOURISME, VÉHICULES POUR LE TRANSPORT DE MARCHANDISES ET VÉHICULES À USAGES SPÉCIAUX, N.D.A.")</f>
        <v xml:space="preserve">   ROUES, LEURS PARTIES ET ACCESSOIRES POUR TRACTEURS, VÉHICULES POUR LE TRANSPORT DE &gt;= 10 PERSONNES, CHAUFFEUR INCLUS, VOITURES DE TOURISME, VÉHICULES POUR LE TRANSPORT DE MARCHANDISES ET VÉHICULES À USAGES SPÉCIAUX, N.D.A.</v>
      </c>
      <c r="C3366">
        <v>356298</v>
      </c>
      <c r="D3366">
        <v>71</v>
      </c>
    </row>
    <row r="3367" spans="1:4" x14ac:dyDescent="0.25">
      <c r="A3367" t="str">
        <f>T("   870892")</f>
        <v xml:space="preserve">   870892</v>
      </c>
      <c r="B3367" t="str">
        <f>T("   SILENCIEUX ET TUYAUX D'ÉCHAPPEMENT AINSI QUE LEURS PARTIES, POUR TRACTEURS, VÉHICULES POUR LE TRANSPORT DE &gt;= 10 PERSONNES, CHAUFFEUR INCLUS, VOITURES DE TOURISME, VÉHICULES POUR LE TRANSPORT DE MARCHANDISES ET VÉHICULES À USAGES SPÉCIAUX, N.D.A.")</f>
        <v xml:space="preserve">   SILENCIEUX ET TUYAUX D'ÉCHAPPEMENT AINSI QUE LEURS PARTIES, POUR TRACTEURS, VÉHICULES POUR LE TRANSPORT DE &gt;= 10 PERSONNES, CHAUFFEUR INCLUS, VOITURES DE TOURISME, VÉHICULES POUR LE TRANSPORT DE MARCHANDISES ET VÉHICULES À USAGES SPÉCIAUX, N.D.A.</v>
      </c>
      <c r="C3367">
        <v>505746</v>
      </c>
      <c r="D3367">
        <v>148</v>
      </c>
    </row>
    <row r="3368" spans="1:4" x14ac:dyDescent="0.25">
      <c r="A3368" t="str">
        <f>T("   870899")</f>
        <v xml:space="preserve">   870899</v>
      </c>
      <c r="B3368"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3368">
        <v>89102693</v>
      </c>
      <c r="D3368">
        <v>12084.32</v>
      </c>
    </row>
    <row r="3369" spans="1:4" x14ac:dyDescent="0.25">
      <c r="A3369" t="str">
        <f>T("   871110")</f>
        <v xml:space="preserve">   871110</v>
      </c>
      <c r="B3369" t="str">
        <f>T("   Cyclomoteurs, à moteur à piston alternatif, cylindrée &lt;= 50 cm³, y.c. cycles à moteur auxiliaire")</f>
        <v xml:space="preserve">   Cyclomoteurs, à moteur à piston alternatif, cylindrée &lt;= 50 cm³, y.c. cycles à moteur auxiliaire</v>
      </c>
      <c r="C3369">
        <v>100362</v>
      </c>
      <c r="D3369">
        <v>100</v>
      </c>
    </row>
    <row r="3370" spans="1:4" x14ac:dyDescent="0.25">
      <c r="A3370" t="str">
        <f>T("   871120")</f>
        <v xml:space="preserve">   871120</v>
      </c>
      <c r="B3370" t="str">
        <f>T("   Motocycles à moteur à piston alternatif, cylindrée &gt; 50 cm³ mais &lt;= 250 cm³")</f>
        <v xml:space="preserve">   Motocycles à moteur à piston alternatif, cylindrée &gt; 50 cm³ mais &lt;= 250 cm³</v>
      </c>
      <c r="C3370">
        <v>580525</v>
      </c>
      <c r="D3370">
        <v>1090</v>
      </c>
    </row>
    <row r="3371" spans="1:4" x14ac:dyDescent="0.25">
      <c r="A3371" t="str">
        <f>T("   871200")</f>
        <v xml:space="preserve">   871200</v>
      </c>
      <c r="B3371" t="str">
        <f>T("   BICYCLETTES ET AUTRES CYCLES, -Y.C. LES TRIPORTEURS-, SANS MOTEUR")</f>
        <v xml:space="preserve">   BICYCLETTES ET AUTRES CYCLES, -Y.C. LES TRIPORTEURS-, SANS MOTEUR</v>
      </c>
      <c r="C3371">
        <v>736716</v>
      </c>
      <c r="D3371">
        <v>1140</v>
      </c>
    </row>
    <row r="3372" spans="1:4" x14ac:dyDescent="0.25">
      <c r="A3372" t="str">
        <f>T("   871310")</f>
        <v xml:space="preserve">   871310</v>
      </c>
      <c r="B3372" t="str">
        <f>T("   Fauteuils roulants et autres véhicules pour invalides (sans mécanisme de propulsion)")</f>
        <v xml:space="preserve">   Fauteuils roulants et autres véhicules pour invalides (sans mécanisme de propulsion)</v>
      </c>
      <c r="C3372">
        <v>94707</v>
      </c>
      <c r="D3372">
        <v>170</v>
      </c>
    </row>
    <row r="3373" spans="1:4" x14ac:dyDescent="0.25">
      <c r="A3373" t="str">
        <f>T("   871390")</f>
        <v xml:space="preserve">   871390</v>
      </c>
      <c r="B3373" t="str">
        <f>T("   Fauteuils roulants et autres véhicules pour invalides, avec mécanisme de propulsion (sauf automobiles et bicyclettes munies de dispositifs spéciaux)")</f>
        <v xml:space="preserve">   Fauteuils roulants et autres véhicules pour invalides, avec mécanisme de propulsion (sauf automobiles et bicyclettes munies de dispositifs spéciaux)</v>
      </c>
      <c r="C3373">
        <v>1311920</v>
      </c>
      <c r="D3373">
        <v>482</v>
      </c>
    </row>
    <row r="3374" spans="1:4" x14ac:dyDescent="0.25">
      <c r="A3374" t="str">
        <f>T("   871492")</f>
        <v xml:space="preserve">   871492</v>
      </c>
      <c r="B3374" t="str">
        <f>T("   Jantes et rayons, de bicyclettes")</f>
        <v xml:space="preserve">   Jantes et rayons, de bicyclettes</v>
      </c>
      <c r="C3374">
        <v>300000</v>
      </c>
      <c r="D3374">
        <v>265</v>
      </c>
    </row>
    <row r="3375" spans="1:4" x14ac:dyDescent="0.25">
      <c r="A3375" t="str">
        <f>T("   871631")</f>
        <v xml:space="preserve">   871631</v>
      </c>
      <c r="B3375" t="str">
        <f>T("   Remorques-citernes ne circulant pas sur rails")</f>
        <v xml:space="preserve">   Remorques-citernes ne circulant pas sur rails</v>
      </c>
      <c r="C3375">
        <v>1352612</v>
      </c>
      <c r="D3375">
        <v>3500</v>
      </c>
    </row>
    <row r="3376" spans="1:4" x14ac:dyDescent="0.25">
      <c r="A3376" t="str">
        <f>T("   871640")</f>
        <v xml:space="preserve">   871640</v>
      </c>
      <c r="B3376"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3376">
        <v>109727503</v>
      </c>
      <c r="D3376">
        <v>356486</v>
      </c>
    </row>
    <row r="3377" spans="1:4" x14ac:dyDescent="0.25">
      <c r="A3377" t="str">
        <f>T("   890190")</f>
        <v xml:space="preserve">   890190</v>
      </c>
      <c r="B3377" t="str">
        <f>T("   Cargos et bateaux pour le transport de personnes et de marchandises (autres que bateaux frigorifiques, bateaux-citernes, cargos et bateaux destinés essentiellement au transport des personnes)")</f>
        <v xml:space="preserve">   Cargos et bateaux pour le transport de personnes et de marchandises (autres que bateaux frigorifiques, bateaux-citernes, cargos et bateaux destinés essentiellement au transport des personnes)</v>
      </c>
      <c r="C3377">
        <v>719986</v>
      </c>
      <c r="D3377">
        <v>343</v>
      </c>
    </row>
    <row r="3378" spans="1:4" x14ac:dyDescent="0.25">
      <c r="A3378" t="str">
        <f>T("   900110")</f>
        <v xml:space="preserve">   900110</v>
      </c>
      <c r="B3378" t="str">
        <f>T("   Fibres optiques, faisceaux et câbles de fibres optiques (autres que les câbles constitués de fibres gainées individuellement du n° 8544)")</f>
        <v xml:space="preserve">   Fibres optiques, faisceaux et câbles de fibres optiques (autres que les câbles constitués de fibres gainées individuellement du n° 8544)</v>
      </c>
      <c r="C3378">
        <v>548383</v>
      </c>
      <c r="D3378">
        <v>13</v>
      </c>
    </row>
    <row r="3379" spans="1:4" x14ac:dyDescent="0.25">
      <c r="A3379" t="str">
        <f>T("   900490")</f>
        <v xml:space="preserve">   900490</v>
      </c>
      <c r="B3379" t="str">
        <f>T("   Lunettes correctrices, protectrices ou autres et articles simil. (à l'excl. des lunettes pour tests visuels, des lunettes solaires, des verres de contact, des verres de lunetterie et des montures de lunettes)")</f>
        <v xml:space="preserve">   Lunettes correctrices, protectrices ou autres et articles simil. (à l'excl. des lunettes pour tests visuels, des lunettes solaires, des verres de contact, des verres de lunetterie et des montures de lunettes)</v>
      </c>
      <c r="C3379">
        <v>19318</v>
      </c>
      <c r="D3379">
        <v>2</v>
      </c>
    </row>
    <row r="3380" spans="1:4" x14ac:dyDescent="0.25">
      <c r="A3380" t="str">
        <f>T("   900911")</f>
        <v xml:space="preserve">   900911</v>
      </c>
      <c r="B3380" t="str">
        <f>T("   Appareils de photocopie électrostatiques, fonctionnant par reproduction directe de l'image de l'original sur la copie [procédé direct]")</f>
        <v xml:space="preserve">   Appareils de photocopie électrostatiques, fonctionnant par reproduction directe de l'image de l'original sur la copie [procédé direct]</v>
      </c>
      <c r="C3380">
        <v>969306</v>
      </c>
      <c r="D3380">
        <v>3560</v>
      </c>
    </row>
    <row r="3381" spans="1:4" x14ac:dyDescent="0.25">
      <c r="A3381" t="str">
        <f>T("   900921")</f>
        <v xml:space="preserve">   900921</v>
      </c>
      <c r="B3381" t="str">
        <f>T("   Appareils de photocopie à système optique (autres qu'électrostatiques)")</f>
        <v xml:space="preserve">   Appareils de photocopie à système optique (autres qu'électrostatiques)</v>
      </c>
      <c r="C3381">
        <v>224338</v>
      </c>
      <c r="D3381">
        <v>50</v>
      </c>
    </row>
    <row r="3382" spans="1:4" x14ac:dyDescent="0.25">
      <c r="A3382" t="str">
        <f>T("   900922")</f>
        <v xml:space="preserve">   900922</v>
      </c>
      <c r="B3382" t="str">
        <f>T("   APPAREILS DE PHOTOCOPIE PAR CONTACT")</f>
        <v xml:space="preserve">   APPAREILS DE PHOTOCOPIE PAR CONTACT</v>
      </c>
      <c r="C3382">
        <v>100362</v>
      </c>
      <c r="D3382">
        <v>50</v>
      </c>
    </row>
    <row r="3383" spans="1:4" x14ac:dyDescent="0.25">
      <c r="A3383" t="str">
        <f>T("   901050")</f>
        <v xml:space="preserve">   901050</v>
      </c>
      <c r="B3383" t="str">
        <f>T("   Appareils et matériel pour laboratoires photographiques ou cinématographiques, n.d.a.; négatoscopes")</f>
        <v xml:space="preserve">   Appareils et matériel pour laboratoires photographiques ou cinématographiques, n.d.a.; négatoscopes</v>
      </c>
      <c r="C3383">
        <v>1162528</v>
      </c>
      <c r="D3383">
        <v>700</v>
      </c>
    </row>
    <row r="3384" spans="1:4" x14ac:dyDescent="0.25">
      <c r="A3384" t="str">
        <f>T("   901831")</f>
        <v xml:space="preserve">   901831</v>
      </c>
      <c r="B3384" t="str">
        <f>T("   Seringues, avec ou sans aiguilles, pour la médecine")</f>
        <v xml:space="preserve">   Seringues, avec ou sans aiguilles, pour la médecine</v>
      </c>
      <c r="C3384">
        <v>52295755</v>
      </c>
      <c r="D3384">
        <v>930</v>
      </c>
    </row>
    <row r="3385" spans="1:4" x14ac:dyDescent="0.25">
      <c r="A3385" t="str">
        <f>T("   901839")</f>
        <v xml:space="preserve">   901839</v>
      </c>
      <c r="B3385" t="str">
        <f>T("   AIGUILLES, CTHEÉTERS, CANULES ET SIMIL. POUR LA MÉDECINE (SAUF SERINGUES, AIGUILLES TUBULAIRES EN MÉTAL ET AIGUILLES À SUTURES)")</f>
        <v xml:space="preserve">   AIGUILLES, CTHEÉTERS, CANULES ET SIMIL. POUR LA MÉDECINE (SAUF SERINGUES, AIGUILLES TUBULAIRES EN MÉTAL ET AIGUILLES À SUTURES)</v>
      </c>
      <c r="C3385">
        <v>112600079</v>
      </c>
      <c r="D3385">
        <v>51270</v>
      </c>
    </row>
    <row r="3386" spans="1:4" x14ac:dyDescent="0.25">
      <c r="A3386" t="str">
        <f>T("   901890")</f>
        <v xml:space="preserve">   901890</v>
      </c>
      <c r="B3386" t="str">
        <f>T("   Instruments et appareils pour la médecine, la chirurgie ou l'art vétérinaire, n.d.a.")</f>
        <v xml:space="preserve">   Instruments et appareils pour la médecine, la chirurgie ou l'art vétérinaire, n.d.a.</v>
      </c>
      <c r="C3386">
        <v>43197761</v>
      </c>
      <c r="D3386">
        <v>5297.5</v>
      </c>
    </row>
    <row r="3387" spans="1:4" x14ac:dyDescent="0.25">
      <c r="A3387" t="str">
        <f>T("   902139")</f>
        <v xml:space="preserve">   902139</v>
      </c>
      <c r="B3387" t="str">
        <f>T("   Articles et appareils de prothèse (sauf de prothèse dentaire et prothèses articulaires)")</f>
        <v xml:space="preserve">   Articles et appareils de prothèse (sauf de prothèse dentaire et prothèses articulaires)</v>
      </c>
      <c r="C3387">
        <v>1138320</v>
      </c>
      <c r="D3387">
        <v>34.06</v>
      </c>
    </row>
    <row r="3388" spans="1:4" x14ac:dyDescent="0.25">
      <c r="A3388" t="str">
        <f>T("   902190")</f>
        <v xml:space="preserve">   902190</v>
      </c>
      <c r="B3388" t="s">
        <v>503</v>
      </c>
      <c r="C3388">
        <v>10262113</v>
      </c>
      <c r="D3388">
        <v>483</v>
      </c>
    </row>
    <row r="3389" spans="1:4" x14ac:dyDescent="0.25">
      <c r="A3389" t="str">
        <f>T("   902229")</f>
        <v xml:space="preserve">   902229</v>
      </c>
      <c r="B3389" t="str">
        <f>T("   Appareils utilisant les radiations alpha, bêta ou gamma (à usage autre que médical, chirurgical, dentaire ou vétérinaire)")</f>
        <v xml:space="preserve">   Appareils utilisant les radiations alpha, bêta ou gamma (à usage autre que médical, chirurgical, dentaire ou vétérinaire)</v>
      </c>
      <c r="C3389">
        <v>2623841</v>
      </c>
      <c r="D3389">
        <v>5000</v>
      </c>
    </row>
    <row r="3390" spans="1:4" x14ac:dyDescent="0.25">
      <c r="A3390" t="str">
        <f>T("   902480")</f>
        <v xml:space="preserve">   902480</v>
      </c>
      <c r="B3390" t="str">
        <f>T("   Machines et appareils d'essais des propriétés mécaniques des matériaux (autres que les métaux)")</f>
        <v xml:space="preserve">   Machines et appareils d'essais des propriétés mécaniques des matériaux (autres que les métaux)</v>
      </c>
      <c r="C3390">
        <v>989524</v>
      </c>
      <c r="D3390">
        <v>8</v>
      </c>
    </row>
    <row r="3391" spans="1:4" x14ac:dyDescent="0.25">
      <c r="A3391" t="str">
        <f>T("   902490")</f>
        <v xml:space="preserve">   902490</v>
      </c>
      <c r="B3391" t="str">
        <f>T("   Parties et accessoires des machines et appareils d'essais des propriétés mécaniques des matériaux, n.d.a.")</f>
        <v xml:space="preserve">   Parties et accessoires des machines et appareils d'essais des propriétés mécaniques des matériaux, n.d.a.</v>
      </c>
      <c r="C3391">
        <v>1451303</v>
      </c>
      <c r="D3391">
        <v>12</v>
      </c>
    </row>
    <row r="3392" spans="1:4" x14ac:dyDescent="0.25">
      <c r="A3392" t="str">
        <f>T("   902519")</f>
        <v xml:space="preserve">   902519</v>
      </c>
      <c r="B3392" t="str">
        <f>T("   THERMOMÈTRES ET PYROMÈTRES, NON-COMBINÉS À D'AUTRES INSTRUMENTS (À L'EXCL. DES THERMOMÈTRES À LIQUIDE, À LECTURE DIRECTE) [01/01/1988-31/12/1991: THERMOMÈTRES, NON COMBINES A D'AUTRES INSTRUMENTS, (NON REPR. SOUS 9025.11)]")</f>
        <v xml:space="preserve">   THERMOMÈTRES ET PYROMÈTRES, NON-COMBINÉS À D'AUTRES INSTRUMENTS (À L'EXCL. DES THERMOMÈTRES À LIQUIDE, À LECTURE DIRECTE) [01/01/1988-31/12/1991: THERMOMÈTRES, NON COMBINES A D'AUTRES INSTRUMENTS, (NON REPR. SOUS 9025.11)]</v>
      </c>
      <c r="C3392">
        <v>774398</v>
      </c>
      <c r="D3392">
        <v>151.5</v>
      </c>
    </row>
    <row r="3393" spans="1:4" x14ac:dyDescent="0.25">
      <c r="A3393" t="str">
        <f>T("   902580")</f>
        <v xml:space="preserve">   902580</v>
      </c>
      <c r="B3393" t="s">
        <v>505</v>
      </c>
      <c r="C3393">
        <v>960325</v>
      </c>
      <c r="D3393">
        <v>23</v>
      </c>
    </row>
    <row r="3394" spans="1:4" x14ac:dyDescent="0.25">
      <c r="A3394" t="str">
        <f>T("   902610")</f>
        <v xml:space="preserve">   902610</v>
      </c>
      <c r="B3394" t="str">
        <f>T("   Instruments et appareils pour la mesure ou le contrôle du débit ou du niveau des liquides (à l'excl. des compteurs et des instruments et appareils pour la régulation ou le contrôle automatiques)")</f>
        <v xml:space="preserve">   Instruments et appareils pour la mesure ou le contrôle du débit ou du niveau des liquides (à l'excl. des compteurs et des instruments et appareils pour la régulation ou le contrôle automatiques)</v>
      </c>
      <c r="C3394">
        <v>18960676</v>
      </c>
      <c r="D3394">
        <v>119.25</v>
      </c>
    </row>
    <row r="3395" spans="1:4" x14ac:dyDescent="0.25">
      <c r="A3395" t="str">
        <f>T("   902620")</f>
        <v xml:space="preserve">   902620</v>
      </c>
      <c r="B3395" t="str">
        <f>T("   Instruments et appareils pour la mesure ou le contrôle de la pression des liquides ou des gaz (à l'excl. des instruments et appareils pour la régulation ou le contrôle automatiques)")</f>
        <v xml:space="preserve">   Instruments et appareils pour la mesure ou le contrôle de la pression des liquides ou des gaz (à l'excl. des instruments et appareils pour la régulation ou le contrôle automatiques)</v>
      </c>
      <c r="C3395">
        <v>15587192</v>
      </c>
      <c r="D3395">
        <v>99</v>
      </c>
    </row>
    <row r="3396" spans="1:4" x14ac:dyDescent="0.25">
      <c r="A3396" t="str">
        <f>T("   902680")</f>
        <v xml:space="preserve">   902680</v>
      </c>
      <c r="B3396" t="str">
        <f>T("   Instruments et appareils pour la mesure et le contrôle des caractéristiques variables des liquides ou des gaz, n.d.a.")</f>
        <v xml:space="preserve">   Instruments et appareils pour la mesure et le contrôle des caractéristiques variables des liquides ou des gaz, n.d.a.</v>
      </c>
      <c r="C3396">
        <v>10650167</v>
      </c>
      <c r="D3396">
        <v>29</v>
      </c>
    </row>
    <row r="3397" spans="1:4" x14ac:dyDescent="0.25">
      <c r="A3397" t="str">
        <f>T("   902690")</f>
        <v xml:space="preserve">   902690</v>
      </c>
      <c r="B3397" t="str">
        <f>T("   Parties et accessoires des instruments et appareils pour la mesure ou le contrôle du débit, du niveau, de la pression ou d'autres caractéristiques variables des liquides ou des gaz, n.d.a.")</f>
        <v xml:space="preserve">   Parties et accessoires des instruments et appareils pour la mesure ou le contrôle du débit, du niveau, de la pression ou d'autres caractéristiques variables des liquides ou des gaz, n.d.a.</v>
      </c>
      <c r="C3397">
        <v>18979041</v>
      </c>
      <c r="D3397">
        <v>65</v>
      </c>
    </row>
    <row r="3398" spans="1:4" x14ac:dyDescent="0.25">
      <c r="A3398" t="str">
        <f>T("   902710")</f>
        <v xml:space="preserve">   902710</v>
      </c>
      <c r="B3398" t="str">
        <f>T("   Analyseurs de gaz ou de fumées")</f>
        <v xml:space="preserve">   Analyseurs de gaz ou de fumées</v>
      </c>
      <c r="C3398">
        <v>9212958</v>
      </c>
      <c r="D3398">
        <v>49</v>
      </c>
    </row>
    <row r="3399" spans="1:4" x14ac:dyDescent="0.25">
      <c r="A3399" t="str">
        <f>T("   902750")</f>
        <v xml:space="preserve">   902750</v>
      </c>
      <c r="B3399" t="str">
        <f>T("   Instruments et appareils utilisant les rayonnements optiques: UV, visibles, IR (à l'excl. des spectromètres, spectrophotomètres et spectrographes ainsi que des analyseurs de gaz ou de fumées)")</f>
        <v xml:space="preserve">   Instruments et appareils utilisant les rayonnements optiques: UV, visibles, IR (à l'excl. des spectromètres, spectrophotomètres et spectrographes ainsi que des analyseurs de gaz ou de fumées)</v>
      </c>
      <c r="C3399">
        <v>5463491</v>
      </c>
      <c r="D3399">
        <v>3</v>
      </c>
    </row>
    <row r="3400" spans="1:4" x14ac:dyDescent="0.25">
      <c r="A3400" t="str">
        <f>T("   902780")</f>
        <v xml:space="preserve">   902780</v>
      </c>
      <c r="B3400" t="str">
        <f>T("   Instruments et appareils pour analyses physiques ou chimiques, ou pour essais de viscosité, de porosité, de dilatation, de tension superficielle ou simil. ou pour mesures calorimétriques ou acoustiques ou photométriques, n.d.a.")</f>
        <v xml:space="preserve">   Instruments et appareils pour analyses physiques ou chimiques, ou pour essais de viscosité, de porosité, de dilatation, de tension superficielle ou simil. ou pour mesures calorimétriques ou acoustiques ou photométriques, n.d.a.</v>
      </c>
      <c r="C3400">
        <v>9224109</v>
      </c>
      <c r="D3400">
        <v>18.25</v>
      </c>
    </row>
    <row r="3401" spans="1:4" x14ac:dyDescent="0.25">
      <c r="A3401" t="str">
        <f>T("   902790")</f>
        <v xml:space="preserve">   902790</v>
      </c>
      <c r="B3401" t="s">
        <v>506</v>
      </c>
      <c r="C3401">
        <v>2205875</v>
      </c>
      <c r="D3401">
        <v>4</v>
      </c>
    </row>
    <row r="3402" spans="1:4" x14ac:dyDescent="0.25">
      <c r="A3402" t="str">
        <f>T("   902820")</f>
        <v xml:space="preserve">   902820</v>
      </c>
      <c r="B3402" t="str">
        <f>T("   Compteurs de liquides, y.c. les compteurs pour leur étalonnage")</f>
        <v xml:space="preserve">   Compteurs de liquides, y.c. les compteurs pour leur étalonnage</v>
      </c>
      <c r="C3402">
        <v>421782</v>
      </c>
      <c r="D3402">
        <v>2</v>
      </c>
    </row>
    <row r="3403" spans="1:4" x14ac:dyDescent="0.25">
      <c r="A3403" t="str">
        <f>T("   902890")</f>
        <v xml:space="preserve">   902890</v>
      </c>
      <c r="B3403" t="str">
        <f>T("   Parties et accessoires de compteurs de gaz, de liquides ou d'électricité, n.d.a.")</f>
        <v xml:space="preserve">   Parties et accessoires de compteurs de gaz, de liquides ou d'électricité, n.d.a.</v>
      </c>
      <c r="C3403">
        <v>85931</v>
      </c>
      <c r="D3403">
        <v>2</v>
      </c>
    </row>
    <row r="3404" spans="1:4" x14ac:dyDescent="0.25">
      <c r="A3404" t="str">
        <f>T("   903039")</f>
        <v xml:space="preserve">   903039</v>
      </c>
      <c r="B3404" t="str">
        <f>T("   Instruments et appareils pour la mesure ou le contrôle de la tension, de l'intensité, de la résistance ou de la puissance, sans dispositif enregistreur (à l'excl. des multimètres ainsi que des oscilloscopes et oscillographes cathodiques)")</f>
        <v xml:space="preserve">   Instruments et appareils pour la mesure ou le contrôle de la tension, de l'intensité, de la résistance ou de la puissance, sans dispositif enregistreur (à l'excl. des multimètres ainsi que des oscilloscopes et oscillographes cathodiques)</v>
      </c>
      <c r="C3404">
        <v>213311</v>
      </c>
      <c r="D3404">
        <v>10</v>
      </c>
    </row>
    <row r="3405" spans="1:4" x14ac:dyDescent="0.25">
      <c r="A3405" t="str">
        <f>T("   903090")</f>
        <v xml:space="preserve">   903090</v>
      </c>
      <c r="B3405" t="str">
        <f>T("   Parties et accessoires des instruments et appareils pour la mesure ou le contrôle de grandeurs électriques ou pour la mesure ou la détection des radiations ionisantes, n.d.a.")</f>
        <v xml:space="preserve">   Parties et accessoires des instruments et appareils pour la mesure ou le contrôle de grandeurs électriques ou pour la mesure ou la détection des radiations ionisantes, n.d.a.</v>
      </c>
      <c r="C3405">
        <v>628410</v>
      </c>
      <c r="D3405">
        <v>1</v>
      </c>
    </row>
    <row r="3406" spans="1:4" x14ac:dyDescent="0.25">
      <c r="A3406" t="str">
        <f>T("   903110")</f>
        <v xml:space="preserve">   903110</v>
      </c>
      <c r="B3406" t="str">
        <f>T("   Machines à équilibrer les pièces mécaniques")</f>
        <v xml:space="preserve">   Machines à équilibrer les pièces mécaniques</v>
      </c>
      <c r="C3406">
        <v>1033137</v>
      </c>
      <c r="D3406">
        <v>40</v>
      </c>
    </row>
    <row r="3407" spans="1:4" x14ac:dyDescent="0.25">
      <c r="A3407" t="str">
        <f>T("   903180")</f>
        <v xml:space="preserve">   903180</v>
      </c>
      <c r="B3407" t="str">
        <f>T("   INSTRUMENTS, APPAREILS ET MACHINES DE MESURE OU DE CONTRÔLE, NON-OPTIQUES, N.D.A. DANS LE PRÉSENT CHAPITRE")</f>
        <v xml:space="preserve">   INSTRUMENTS, APPAREILS ET MACHINES DE MESURE OU DE CONTRÔLE, NON-OPTIQUES, N.D.A. DANS LE PRÉSENT CHAPITRE</v>
      </c>
      <c r="C3407">
        <v>177751</v>
      </c>
      <c r="D3407">
        <v>14</v>
      </c>
    </row>
    <row r="3408" spans="1:4" x14ac:dyDescent="0.25">
      <c r="A3408" t="str">
        <f>T("   903190")</f>
        <v xml:space="preserve">   903190</v>
      </c>
      <c r="B3408" t="str">
        <f>T("   Parties et accessoires des instruments, appareils et machines de mesure ou de contrôle, n.d.a.")</f>
        <v xml:space="preserve">   Parties et accessoires des instruments, appareils et machines de mesure ou de contrôle, n.d.a.</v>
      </c>
      <c r="C3408">
        <v>10053899</v>
      </c>
      <c r="D3408">
        <v>41</v>
      </c>
    </row>
    <row r="3409" spans="1:4" x14ac:dyDescent="0.25">
      <c r="A3409" t="str">
        <f>T("   903220")</f>
        <v xml:space="preserve">   903220</v>
      </c>
      <c r="B3409" t="str">
        <f>T("   Manostats [pressostats] (sauf les articles de robinetterie du n° 8481)")</f>
        <v xml:space="preserve">   Manostats [pressostats] (sauf les articles de robinetterie du n° 8481)</v>
      </c>
      <c r="C3409">
        <v>1132187</v>
      </c>
      <c r="D3409">
        <v>6</v>
      </c>
    </row>
    <row r="3410" spans="1:4" x14ac:dyDescent="0.25">
      <c r="A3410" t="str">
        <f>T("   903281")</f>
        <v xml:space="preserve">   903281</v>
      </c>
      <c r="B3410" t="str">
        <f>T("   Instruments et appareils, hydrauliques et pneumatiques, pour la régulation ou le contrôle automatiques (à l'excl. des manostats [pressostats] et des articles de robinetterie du n° 8481)")</f>
        <v xml:space="preserve">   Instruments et appareils, hydrauliques et pneumatiques, pour la régulation ou le contrôle automatiques (à l'excl. des manostats [pressostats] et des articles de robinetterie du n° 8481)</v>
      </c>
      <c r="C3410">
        <v>2069849</v>
      </c>
      <c r="D3410">
        <v>8</v>
      </c>
    </row>
    <row r="3411" spans="1:4" x14ac:dyDescent="0.25">
      <c r="A3411" t="str">
        <f>T("   903289")</f>
        <v xml:space="preserve">   903289</v>
      </c>
      <c r="B3411" t="s">
        <v>508</v>
      </c>
      <c r="C3411">
        <v>10305374</v>
      </c>
      <c r="D3411">
        <v>41</v>
      </c>
    </row>
    <row r="3412" spans="1:4" x14ac:dyDescent="0.25">
      <c r="A3412" t="str">
        <f>T("   903290")</f>
        <v xml:space="preserve">   903290</v>
      </c>
      <c r="B3412" t="str">
        <f>T("   Parties et accessoires des instruments et appareils pour la régulation ou le contrôle automatiques, n.d.a.")</f>
        <v xml:space="preserve">   Parties et accessoires des instruments et appareils pour la régulation ou le contrôle automatiques, n.d.a.</v>
      </c>
      <c r="C3412">
        <v>943270</v>
      </c>
      <c r="D3412">
        <v>1</v>
      </c>
    </row>
    <row r="3413" spans="1:4" x14ac:dyDescent="0.25">
      <c r="A3413" t="str">
        <f>T("   940169")</f>
        <v xml:space="preserve">   940169</v>
      </c>
      <c r="B3413" t="str">
        <f>T("   Sièges, avec bâti en bois, non rembourrés")</f>
        <v xml:space="preserve">   Sièges, avec bâti en bois, non rembourrés</v>
      </c>
      <c r="C3413">
        <v>3058438</v>
      </c>
      <c r="D3413">
        <v>2380</v>
      </c>
    </row>
    <row r="3414" spans="1:4" x14ac:dyDescent="0.25">
      <c r="A3414" t="str">
        <f>T("   940290")</f>
        <v xml:space="preserve">   940290</v>
      </c>
      <c r="B3414" t="str">
        <f>T("   Tables d'opération, tables d'examen et autre mobilier pour la médecine, la chirurgie, l'art dentaire ou vétérinaire (sauf fauteuils de dentistes et autres sièges, tables d'examen radiographique, civières et brancards, y.c. chariots-brancards)")</f>
        <v xml:space="preserve">   Tables d'opération, tables d'examen et autre mobilier pour la médecine, la chirurgie, l'art dentaire ou vétérinaire (sauf fauteuils de dentistes et autres sièges, tables d'examen radiographique, civières et brancards, y.c. chariots-brancards)</v>
      </c>
      <c r="C3414">
        <v>11947623</v>
      </c>
      <c r="D3414">
        <v>1159</v>
      </c>
    </row>
    <row r="3415" spans="1:4" x14ac:dyDescent="0.25">
      <c r="A3415" t="str">
        <f>T("   940320")</f>
        <v xml:space="preserve">   940320</v>
      </c>
      <c r="B3415"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3415">
        <v>50000</v>
      </c>
      <c r="D3415">
        <v>310</v>
      </c>
    </row>
    <row r="3416" spans="1:4" x14ac:dyDescent="0.25">
      <c r="A3416" t="str">
        <f>T("   940330")</f>
        <v xml:space="preserve">   940330</v>
      </c>
      <c r="B3416" t="str">
        <f>T("   Meubles de bureau en bois (sauf sièges)")</f>
        <v xml:space="preserve">   Meubles de bureau en bois (sauf sièges)</v>
      </c>
      <c r="C3416">
        <v>30174</v>
      </c>
      <c r="D3416">
        <v>35</v>
      </c>
    </row>
    <row r="3417" spans="1:4" x14ac:dyDescent="0.25">
      <c r="A3417" t="str">
        <f>T("   940350")</f>
        <v xml:space="preserve">   940350</v>
      </c>
      <c r="B3417" t="str">
        <f>T("   Meubles pour chambres à coucher, en bois (sauf sièges)")</f>
        <v xml:space="preserve">   Meubles pour chambres à coucher, en bois (sauf sièges)</v>
      </c>
      <c r="C3417">
        <v>7142479</v>
      </c>
      <c r="D3417">
        <v>8100</v>
      </c>
    </row>
    <row r="3418" spans="1:4" x14ac:dyDescent="0.25">
      <c r="A3418" t="str">
        <f>T("   940360")</f>
        <v xml:space="preserve">   940360</v>
      </c>
      <c r="B3418" t="str">
        <f>T("   Meubles en bois (autres que pour bureaux, cuisines ou chambres à coucher et autres que sièges)")</f>
        <v xml:space="preserve">   Meubles en bois (autres que pour bureaux, cuisines ou chambres à coucher et autres que sièges)</v>
      </c>
      <c r="C3418">
        <v>4446054</v>
      </c>
      <c r="D3418">
        <v>10123</v>
      </c>
    </row>
    <row r="3419" spans="1:4" x14ac:dyDescent="0.25">
      <c r="A3419" t="str">
        <f>T("   940370")</f>
        <v xml:space="preserve">   940370</v>
      </c>
      <c r="B3419" t="str">
        <f>T("   Meubles en matières plastiques (autres que pour la médecine, l'art dentaire et vétérinaire, la chirurgie et autres que sièges)")</f>
        <v xml:space="preserve">   Meubles en matières plastiques (autres que pour la médecine, l'art dentaire et vétérinaire, la chirurgie et autres que sièges)</v>
      </c>
      <c r="C3419">
        <v>1556194</v>
      </c>
      <c r="D3419">
        <v>1497</v>
      </c>
    </row>
    <row r="3420" spans="1:4" x14ac:dyDescent="0.25">
      <c r="A3420" t="str">
        <f>T("   940380")</f>
        <v xml:space="preserve">   940380</v>
      </c>
      <c r="B3420" t="str">
        <f>T("   Meubles en rotin, osier, bambou ou autres matières (sauf métal, bois et matières plastiques)")</f>
        <v xml:space="preserve">   Meubles en rotin, osier, bambou ou autres matières (sauf métal, bois et matières plastiques)</v>
      </c>
      <c r="C3420">
        <v>22522389</v>
      </c>
      <c r="D3420">
        <v>50562</v>
      </c>
    </row>
    <row r="3421" spans="1:4" x14ac:dyDescent="0.25">
      <c r="A3421" t="str">
        <f>T("   940429")</f>
        <v xml:space="preserve">   940429</v>
      </c>
      <c r="B3421" t="str">
        <f>T("   Matelas à ressorts ou rembourrés, ou garnis intérieurement de matières autres que le caoutchouc alvéolaire ou les matières plastiques alvéolaires (sauf matelas à eau, matelas pneumatiques et oreillers)")</f>
        <v xml:space="preserve">   Matelas à ressorts ou rembourrés, ou garnis intérieurement de matières autres que le caoutchouc alvéolaire ou les matières plastiques alvéolaires (sauf matelas à eau, matelas pneumatiques et oreillers)</v>
      </c>
      <c r="C3421">
        <v>7305000</v>
      </c>
      <c r="D3421">
        <v>12913</v>
      </c>
    </row>
    <row r="3422" spans="1:4" x14ac:dyDescent="0.25">
      <c r="A3422" t="str">
        <f>T("   940490")</f>
        <v xml:space="preserve">   940490</v>
      </c>
      <c r="B3422" t="s">
        <v>514</v>
      </c>
      <c r="C3422">
        <v>217825</v>
      </c>
      <c r="D3422">
        <v>500</v>
      </c>
    </row>
    <row r="3423" spans="1:4" x14ac:dyDescent="0.25">
      <c r="A3423" t="str">
        <f>T("   940510")</f>
        <v xml:space="preserve">   940510</v>
      </c>
      <c r="B3423" t="str">
        <f>T("   Lustres et autres appareils d'éclairage électrique à suspendre ou à fixer au plafond ou au mur (sauf pour l'éclairage des espaces et voies publiques)")</f>
        <v xml:space="preserve">   Lustres et autres appareils d'éclairage électrique à suspendre ou à fixer au plafond ou au mur (sauf pour l'éclairage des espaces et voies publiques)</v>
      </c>
      <c r="C3423">
        <v>7887053</v>
      </c>
      <c r="D3423">
        <v>187</v>
      </c>
    </row>
    <row r="3424" spans="1:4" x14ac:dyDescent="0.25">
      <c r="A3424" t="str">
        <f>T("   940520")</f>
        <v xml:space="preserve">   940520</v>
      </c>
      <c r="B3424" t="str">
        <f>T("   Lampes de chevet, lampes de bureau et lampadaires d'intérieur, électriques")</f>
        <v xml:space="preserve">   Lampes de chevet, lampes de bureau et lampadaires d'intérieur, électriques</v>
      </c>
      <c r="C3424">
        <v>52477</v>
      </c>
      <c r="D3424">
        <v>10</v>
      </c>
    </row>
    <row r="3425" spans="1:4" x14ac:dyDescent="0.25">
      <c r="A3425" t="str">
        <f>T("   940540")</f>
        <v xml:space="preserve">   940540</v>
      </c>
      <c r="B3425" t="str">
        <f>T("   Appareils d'éclairage électrique, n.d.a.")</f>
        <v xml:space="preserve">   Appareils d'éclairage électrique, n.d.a.</v>
      </c>
      <c r="C3425">
        <v>1544786</v>
      </c>
      <c r="D3425">
        <v>881.2</v>
      </c>
    </row>
    <row r="3426" spans="1:4" x14ac:dyDescent="0.25">
      <c r="A3426" t="str">
        <f>T("   940560")</f>
        <v xml:space="preserve">   940560</v>
      </c>
      <c r="B3426" t="str">
        <f>T("   Lampes-réclames, enseignes lumineuses, plaques indicatrices lumineuses et articles simil., possédant une source d'éclairage fixée à demeure")</f>
        <v xml:space="preserve">   Lampes-réclames, enseignes lumineuses, plaques indicatrices lumineuses et articles simil., possédant une source d'éclairage fixée à demeure</v>
      </c>
      <c r="C3426">
        <v>59587</v>
      </c>
      <c r="D3426">
        <v>44</v>
      </c>
    </row>
    <row r="3427" spans="1:4" x14ac:dyDescent="0.25">
      <c r="A3427" t="str">
        <f>T("   940592")</f>
        <v xml:space="preserve">   940592</v>
      </c>
      <c r="B3427" t="str">
        <f>T("   Parties en matières plastiques d'appareils d'éclairage, de lampes-réclames, d'enseignes lumineuses, de plaques indicatrices lumineuses, et simil., n.d.a.")</f>
        <v xml:space="preserve">   Parties en matières plastiques d'appareils d'éclairage, de lampes-réclames, d'enseignes lumineuses, de plaques indicatrices lumineuses, et simil., n.d.a.</v>
      </c>
      <c r="C3427">
        <v>290026</v>
      </c>
      <c r="D3427">
        <v>8</v>
      </c>
    </row>
    <row r="3428" spans="1:4" x14ac:dyDescent="0.25">
      <c r="A3428" t="str">
        <f>T("   940599")</f>
        <v xml:space="preserve">   940599</v>
      </c>
      <c r="B3428" t="str">
        <f>T("   Parties d'appareils d'éclairage, de lampes-réclames, d'enseignes lumineuses, de plaques indicatrices lumineuses, et simil., n.d.a.")</f>
        <v xml:space="preserve">   Parties d'appareils d'éclairage, de lampes-réclames, d'enseignes lumineuses, de plaques indicatrices lumineuses, et simil., n.d.a.</v>
      </c>
      <c r="C3428">
        <v>1518140</v>
      </c>
      <c r="D3428">
        <v>30</v>
      </c>
    </row>
    <row r="3429" spans="1:4" x14ac:dyDescent="0.25">
      <c r="A3429" t="str">
        <f>T("   950299")</f>
        <v xml:space="preserve">   950299</v>
      </c>
      <c r="B3429" t="str">
        <f>T("   Parties et accessoires pour poupées représentant uniquement l'être humain, n.d.a.")</f>
        <v xml:space="preserve">   Parties et accessoires pour poupées représentant uniquement l'être humain, n.d.a.</v>
      </c>
      <c r="C3429">
        <v>200000</v>
      </c>
      <c r="D3429">
        <v>200</v>
      </c>
    </row>
    <row r="3430" spans="1:4" x14ac:dyDescent="0.25">
      <c r="A3430" t="str">
        <f>T("   950390")</f>
        <v xml:space="preserve">   950390</v>
      </c>
      <c r="B3430" t="str">
        <f>T("   Jouets, n.d.a.")</f>
        <v xml:space="preserve">   Jouets, n.d.a.</v>
      </c>
      <c r="C3430">
        <v>947075</v>
      </c>
      <c r="D3430">
        <v>2000</v>
      </c>
    </row>
    <row r="3431" spans="1:4" x14ac:dyDescent="0.25">
      <c r="A3431" t="str">
        <f>T("   950420")</f>
        <v xml:space="preserve">   950420</v>
      </c>
      <c r="B3431" t="str">
        <f>T("   BILLARDS DE TOUT GENRE ET LEURS ACCESSOIRES")</f>
        <v xml:space="preserve">   BILLARDS DE TOUT GENRE ET LEURS ACCESSOIRES</v>
      </c>
      <c r="C3431">
        <v>20691143</v>
      </c>
      <c r="D3431">
        <v>2276</v>
      </c>
    </row>
    <row r="3432" spans="1:4" x14ac:dyDescent="0.25">
      <c r="A3432" t="str">
        <f>T("   950662")</f>
        <v xml:space="preserve">   950662</v>
      </c>
      <c r="B3432" t="str">
        <f>T("   Ballons et balles gonflables")</f>
        <v xml:space="preserve">   Ballons et balles gonflables</v>
      </c>
      <c r="C3432">
        <v>16399</v>
      </c>
      <c r="D3432">
        <v>95</v>
      </c>
    </row>
    <row r="3433" spans="1:4" x14ac:dyDescent="0.25">
      <c r="A3433" t="str">
        <f>T("   950691")</f>
        <v xml:space="preserve">   950691</v>
      </c>
      <c r="B3433" t="str">
        <f>T("   Articles et matériel pour la culture physique, la gymnastique ou l'athlétisme")</f>
        <v xml:space="preserve">   Articles et matériel pour la culture physique, la gymnastique ou l'athlétisme</v>
      </c>
      <c r="C3433">
        <v>3910000</v>
      </c>
      <c r="D3433">
        <v>3275</v>
      </c>
    </row>
    <row r="3434" spans="1:4" x14ac:dyDescent="0.25">
      <c r="A3434" t="str">
        <f>T("   960810")</f>
        <v xml:space="preserve">   960810</v>
      </c>
      <c r="B3434" t="str">
        <f>T("   Stylos et crayons à bille")</f>
        <v xml:space="preserve">   Stylos et crayons à bille</v>
      </c>
      <c r="C3434">
        <v>1247491</v>
      </c>
      <c r="D3434">
        <v>280</v>
      </c>
    </row>
    <row r="3435" spans="1:4" x14ac:dyDescent="0.25">
      <c r="A3435" t="str">
        <f>T("   960899")</f>
        <v xml:space="preserve">   960899</v>
      </c>
      <c r="B3435" t="str">
        <f>T("   PARTIES DE STYLOS ET CRAYONS À BILLE, STYLOS ET MARQUEURS À MÈCHE FEUTRE OU À AUTRES POINTES POREUSES, STYLOS ET PORTE-MINE, N.D.A.; PORTE-PLUME, PORTE-CRAYON ET ARTICLES SIMIL., STYLETS POUR DUPLICATEURS")</f>
        <v xml:space="preserve">   PARTIES DE STYLOS ET CRAYONS À BILLE, STYLOS ET MARQUEURS À MÈCHE FEUTRE OU À AUTRES POINTES POREUSES, STYLOS ET PORTE-MINE, N.D.A.; PORTE-PLUME, PORTE-CRAYON ET ARTICLES SIMIL., STYLETS POUR DUPLICATEURS</v>
      </c>
      <c r="C3435">
        <v>7871</v>
      </c>
      <c r="D3435">
        <v>140</v>
      </c>
    </row>
    <row r="3436" spans="1:4" x14ac:dyDescent="0.25">
      <c r="A3436" t="str">
        <f>T("   961000")</f>
        <v xml:space="preserve">   961000</v>
      </c>
      <c r="B3436" t="str">
        <f>T("   Ardoises et tableaux pour l'écriture ou le dessin, même encadrés")</f>
        <v xml:space="preserve">   Ardoises et tableaux pour l'écriture ou le dessin, même encadrés</v>
      </c>
      <c r="C3436">
        <v>571341</v>
      </c>
      <c r="D3436">
        <v>425</v>
      </c>
    </row>
    <row r="3437" spans="1:4" x14ac:dyDescent="0.25">
      <c r="A3437" t="str">
        <f>T("   961220")</f>
        <v xml:space="preserve">   961220</v>
      </c>
      <c r="B3437" t="str">
        <f>T("   Tampons encreurs, même imprégnés, avec ou sans boîte")</f>
        <v xml:space="preserve">   Tampons encreurs, même imprégnés, avec ou sans boîte</v>
      </c>
      <c r="C3437">
        <v>745827</v>
      </c>
      <c r="D3437">
        <v>2800</v>
      </c>
    </row>
    <row r="3438" spans="1:4" x14ac:dyDescent="0.25">
      <c r="A3438" t="str">
        <f>T("   970110")</f>
        <v xml:space="preserve">   970110</v>
      </c>
      <c r="B3438" t="str">
        <f>T("   Tableaux, p.ex. peintures à l'huile, aquarelles et pastels, et dessins, faits entièrement à la main (à l'excl. des dessins du n° 4906 et des articles manufacturés décorés à la main)")</f>
        <v xml:space="preserve">   Tableaux, p.ex. peintures à l'huile, aquarelles et pastels, et dessins, faits entièrement à la main (à l'excl. des dessins du n° 4906 et des articles manufacturés décorés à la main)</v>
      </c>
      <c r="C3438">
        <v>1200000</v>
      </c>
      <c r="D3438">
        <v>550</v>
      </c>
    </row>
    <row r="3439" spans="1:4" x14ac:dyDescent="0.25">
      <c r="A3439" t="str">
        <f>T("   970200")</f>
        <v xml:space="preserve">   970200</v>
      </c>
      <c r="B3439" t="str">
        <f>T("   Gravures, estampes et lithographies originales")</f>
        <v xml:space="preserve">   Gravures, estampes et lithographies originales</v>
      </c>
      <c r="C3439">
        <v>500000</v>
      </c>
      <c r="D3439">
        <v>280</v>
      </c>
    </row>
    <row r="3440" spans="1:4" x14ac:dyDescent="0.25">
      <c r="A3440" t="str">
        <f>T("   970300")</f>
        <v xml:space="preserve">   970300</v>
      </c>
      <c r="B3440" t="str">
        <f>T("   Productions originales de l'art statuaire ou de la sculpture, en toutes matières")</f>
        <v xml:space="preserve">   Productions originales de l'art statuaire ou de la sculpture, en toutes matières</v>
      </c>
      <c r="C3440">
        <v>300000</v>
      </c>
      <c r="D3440">
        <v>170</v>
      </c>
    </row>
    <row r="3441" spans="1:4" x14ac:dyDescent="0.25">
      <c r="A3441" t="str">
        <f>T("DJ")</f>
        <v>DJ</v>
      </c>
      <c r="B3441" t="str">
        <f>T("Djibouti")</f>
        <v>Djibouti</v>
      </c>
    </row>
    <row r="3442" spans="1:4" x14ac:dyDescent="0.25">
      <c r="A3442" t="str">
        <f>T("   ZZ_Total_Produit_SH6")</f>
        <v xml:space="preserve">   ZZ_Total_Produit_SH6</v>
      </c>
      <c r="B3442" t="str">
        <f>T("   ZZ_Total_Produit_SH6")</f>
        <v xml:space="preserve">   ZZ_Total_Produit_SH6</v>
      </c>
      <c r="C3442">
        <v>46356397</v>
      </c>
      <c r="D3442">
        <v>19875</v>
      </c>
    </row>
    <row r="3443" spans="1:4" x14ac:dyDescent="0.25">
      <c r="A3443" t="str">
        <f>T("   621040")</f>
        <v xml:space="preserve">   621040</v>
      </c>
      <c r="B3443" t="s">
        <v>271</v>
      </c>
      <c r="C3443">
        <v>10386420</v>
      </c>
      <c r="D3443">
        <v>3258</v>
      </c>
    </row>
    <row r="3444" spans="1:4" x14ac:dyDescent="0.25">
      <c r="A3444" t="str">
        <f>T("   621050")</f>
        <v xml:space="preserve">   621050</v>
      </c>
      <c r="B3444" t="s">
        <v>272</v>
      </c>
      <c r="C3444">
        <v>21399000</v>
      </c>
      <c r="D3444">
        <v>12525</v>
      </c>
    </row>
    <row r="3445" spans="1:4" x14ac:dyDescent="0.25">
      <c r="A3445" t="str">
        <f>T("   732394")</f>
        <v xml:space="preserve">   732394</v>
      </c>
      <c r="B3445" t="s">
        <v>367</v>
      </c>
      <c r="C3445">
        <v>1120150</v>
      </c>
      <c r="D3445">
        <v>328</v>
      </c>
    </row>
    <row r="3446" spans="1:4" x14ac:dyDescent="0.25">
      <c r="A3446" t="str">
        <f>T("   841810")</f>
        <v xml:space="preserve">   841810</v>
      </c>
      <c r="B3446" t="str">
        <f>T("   Réfrigérateurs et congélateurs-conservateurs combinés, avec portes extérieures séparées")</f>
        <v xml:space="preserve">   Réfrigérateurs et congélateurs-conservateurs combinés, avec portes extérieures séparées</v>
      </c>
      <c r="C3446">
        <v>4346182</v>
      </c>
      <c r="D3446">
        <v>600</v>
      </c>
    </row>
    <row r="3447" spans="1:4" x14ac:dyDescent="0.25">
      <c r="A3447" t="str">
        <f>T("   870323")</f>
        <v xml:space="preserve">   870323</v>
      </c>
      <c r="B3447" t="s">
        <v>481</v>
      </c>
      <c r="C3447">
        <v>2876611</v>
      </c>
      <c r="D3447">
        <v>1340</v>
      </c>
    </row>
    <row r="3448" spans="1:4" x14ac:dyDescent="0.25">
      <c r="A3448" t="str">
        <f>T("   940380")</f>
        <v xml:space="preserve">   940380</v>
      </c>
      <c r="B3448" t="str">
        <f>T("   Meubles en rotin, osier, bambou ou autres matières (sauf métal, bois et matières plastiques)")</f>
        <v xml:space="preserve">   Meubles en rotin, osier, bambou ou autres matières (sauf métal, bois et matières plastiques)</v>
      </c>
      <c r="C3448">
        <v>6228034</v>
      </c>
      <c r="D3448">
        <v>1824</v>
      </c>
    </row>
    <row r="3449" spans="1:4" x14ac:dyDescent="0.25">
      <c r="A3449" t="str">
        <f>T("DK")</f>
        <v>DK</v>
      </c>
      <c r="B3449" t="str">
        <f>T("Danemark")</f>
        <v>Danemark</v>
      </c>
    </row>
    <row r="3450" spans="1:4" x14ac:dyDescent="0.25">
      <c r="A3450" t="str">
        <f>T("   ZZ_Total_Produit_SH6")</f>
        <v xml:space="preserve">   ZZ_Total_Produit_SH6</v>
      </c>
      <c r="B3450" t="str">
        <f>T("   ZZ_Total_Produit_SH6")</f>
        <v xml:space="preserve">   ZZ_Total_Produit_SH6</v>
      </c>
      <c r="C3450">
        <v>4681898508</v>
      </c>
      <c r="D3450">
        <v>3652389.15</v>
      </c>
    </row>
    <row r="3451" spans="1:4" x14ac:dyDescent="0.25">
      <c r="A3451" t="str">
        <f>T("   020712")</f>
        <v xml:space="preserve">   020712</v>
      </c>
      <c r="B3451" t="str">
        <f>T("   COQS ET POULES [DES ESPÈCES DOMESTIQUES], NON-DÉCOUPÉS EN MORCEAUX, CONGELÉS")</f>
        <v xml:space="preserve">   COQS ET POULES [DES ESPÈCES DOMESTIQUES], NON-DÉCOUPÉS EN MORCEAUX, CONGELÉS</v>
      </c>
      <c r="C3451">
        <v>105719104</v>
      </c>
      <c r="D3451">
        <v>177640</v>
      </c>
    </row>
    <row r="3452" spans="1:4" x14ac:dyDescent="0.25">
      <c r="A3452" t="str">
        <f>T("   020714")</f>
        <v xml:space="preserve">   020714</v>
      </c>
      <c r="B3452" t="str">
        <f>T("   Morceaux et abats comestibles de coqs et de poules [des espèces domestiques], congelés")</f>
        <v xml:space="preserve">   Morceaux et abats comestibles de coqs et de poules [des espèces domestiques], congelés</v>
      </c>
      <c r="C3452">
        <v>911275365</v>
      </c>
      <c r="D3452">
        <v>1562100</v>
      </c>
    </row>
    <row r="3453" spans="1:4" x14ac:dyDescent="0.25">
      <c r="A3453" t="str">
        <f>T("   020727")</f>
        <v xml:space="preserve">   020727</v>
      </c>
      <c r="B3453" t="str">
        <f>T("   Morceaux et abats comestibles de dindes et dindons [des espèces domestiques], congelés")</f>
        <v xml:space="preserve">   Morceaux et abats comestibles de dindes et dindons [des espèces domestiques], congelés</v>
      </c>
      <c r="C3453">
        <v>765242931</v>
      </c>
      <c r="D3453">
        <v>1276905</v>
      </c>
    </row>
    <row r="3454" spans="1:4" x14ac:dyDescent="0.25">
      <c r="A3454" t="str">
        <f>T("   030379")</f>
        <v xml:space="preserve">   030379</v>
      </c>
      <c r="B3454" t="s">
        <v>17</v>
      </c>
      <c r="C3454">
        <v>18201580</v>
      </c>
      <c r="D3454">
        <v>104000</v>
      </c>
    </row>
    <row r="3455" spans="1:4" x14ac:dyDescent="0.25">
      <c r="A3455" t="str">
        <f>T("   190531")</f>
        <v xml:space="preserve">   190531</v>
      </c>
      <c r="B3455" t="str">
        <f>T("   Biscuits additionnés d'édulcorants")</f>
        <v xml:space="preserve">   Biscuits additionnés d'édulcorants</v>
      </c>
      <c r="C3455">
        <v>2276731</v>
      </c>
      <c r="D3455">
        <v>1175</v>
      </c>
    </row>
    <row r="3456" spans="1:4" x14ac:dyDescent="0.25">
      <c r="A3456" t="str">
        <f>T("   220300")</f>
        <v xml:space="preserve">   220300</v>
      </c>
      <c r="B3456" t="str">
        <f>T("   Bières de malt")</f>
        <v xml:space="preserve">   Bières de malt</v>
      </c>
      <c r="C3456">
        <v>36777683</v>
      </c>
      <c r="D3456">
        <v>79783</v>
      </c>
    </row>
    <row r="3457" spans="1:4" x14ac:dyDescent="0.25">
      <c r="A3457" t="str">
        <f>T("   271019")</f>
        <v xml:space="preserve">   271019</v>
      </c>
      <c r="B3457" t="str">
        <f>T("   Huiles moyennes et préparations, de pétrole ou de minéraux bitumineux, n.d.a.")</f>
        <v xml:space="preserve">   Huiles moyennes et préparations, de pétrole ou de minéraux bitumineux, n.d.a.</v>
      </c>
      <c r="C3457">
        <v>258370</v>
      </c>
      <c r="D3457">
        <v>100</v>
      </c>
    </row>
    <row r="3458" spans="1:4" x14ac:dyDescent="0.25">
      <c r="A3458" t="str">
        <f>T("   300220")</f>
        <v xml:space="preserve">   300220</v>
      </c>
      <c r="B3458" t="str">
        <f>T("   Vaccins pour la médecine humaine")</f>
        <v xml:space="preserve">   Vaccins pour la médecine humaine</v>
      </c>
      <c r="C3458">
        <v>2123525461</v>
      </c>
      <c r="D3458">
        <v>16758</v>
      </c>
    </row>
    <row r="3459" spans="1:4" x14ac:dyDescent="0.25">
      <c r="A3459" t="str">
        <f>T("   300390")</f>
        <v xml:space="preserve">   300390</v>
      </c>
      <c r="B3459" t="s">
        <v>75</v>
      </c>
      <c r="C3459">
        <v>15407987</v>
      </c>
      <c r="D3459">
        <v>288</v>
      </c>
    </row>
    <row r="3460" spans="1:4" x14ac:dyDescent="0.25">
      <c r="A3460" t="str">
        <f>T("   300490")</f>
        <v xml:space="preserve">   300490</v>
      </c>
      <c r="B3460" t="s">
        <v>80</v>
      </c>
      <c r="C3460">
        <v>88613864</v>
      </c>
      <c r="D3460">
        <v>3128</v>
      </c>
    </row>
    <row r="3461" spans="1:4" x14ac:dyDescent="0.25">
      <c r="A3461" t="str">
        <f>T("   350790")</f>
        <v xml:space="preserve">   350790</v>
      </c>
      <c r="B3461" t="str">
        <f>T("   Enzymes et enzymes préparées, n.d.a. (à l'excl. de la présure et de ses concentrats)")</f>
        <v xml:space="preserve">   Enzymes et enzymes préparées, n.d.a. (à l'excl. de la présure et de ses concentrats)</v>
      </c>
      <c r="C3461">
        <v>10124743</v>
      </c>
      <c r="D3461">
        <v>463</v>
      </c>
    </row>
    <row r="3462" spans="1:4" x14ac:dyDescent="0.25">
      <c r="A3462" t="str">
        <f>T("   380210")</f>
        <v xml:space="preserve">   380210</v>
      </c>
      <c r="B3462" t="str">
        <f>T("   Charbons activés (à l'excl. des produits ayant le caractère de médicaments ou conditionnés pour la vente au détail en tant que désodorisants pour réfrigérateurs, automobiles, etc.)")</f>
        <v xml:space="preserve">   Charbons activés (à l'excl. des produits ayant le caractère de médicaments ou conditionnés pour la vente au détail en tant que désodorisants pour réfrigérateurs, automobiles, etc.)</v>
      </c>
      <c r="C3462">
        <v>58423</v>
      </c>
      <c r="D3462">
        <v>11</v>
      </c>
    </row>
    <row r="3463" spans="1:4" x14ac:dyDescent="0.25">
      <c r="A3463" t="str">
        <f>T("   381600")</f>
        <v xml:space="preserve">   381600</v>
      </c>
      <c r="B3463" t="str">
        <f>T("   Ciments, mortiers, bétons et compositions simil. réfractaires (à l'excl. des préparations à base de graphite ou d'autre carbone)")</f>
        <v xml:space="preserve">   Ciments, mortiers, bétons et compositions simil. réfractaires (à l'excl. des préparations à base de graphite ou d'autre carbone)</v>
      </c>
      <c r="C3463">
        <v>31115463</v>
      </c>
      <c r="D3463">
        <v>40000</v>
      </c>
    </row>
    <row r="3464" spans="1:4" x14ac:dyDescent="0.25">
      <c r="A3464" t="str">
        <f>T("   392510")</f>
        <v xml:space="preserve">   392510</v>
      </c>
      <c r="B3464" t="str">
        <f>T("   Réservoirs, foudres, cuves et récipients analogues, en matières plastiques, d'une contenance &gt; 300 l")</f>
        <v xml:space="preserve">   Réservoirs, foudres, cuves et récipients analogues, en matières plastiques, d'une contenance &gt; 300 l</v>
      </c>
      <c r="C3464">
        <v>2299758</v>
      </c>
      <c r="D3464">
        <v>422</v>
      </c>
    </row>
    <row r="3465" spans="1:4" x14ac:dyDescent="0.25">
      <c r="A3465" t="str">
        <f>T("   392610")</f>
        <v xml:space="preserve">   392610</v>
      </c>
      <c r="B3465" t="str">
        <f>T("   Articles de bureau et articles scolaires, en matières plastiques, n.d.a.")</f>
        <v xml:space="preserve">   Articles de bureau et articles scolaires, en matières plastiques, n.d.a.</v>
      </c>
      <c r="C3465">
        <v>757852</v>
      </c>
      <c r="D3465">
        <v>1170</v>
      </c>
    </row>
    <row r="3466" spans="1:4" x14ac:dyDescent="0.25">
      <c r="A3466" t="str">
        <f>T("   401140")</f>
        <v xml:space="preserve">   401140</v>
      </c>
      <c r="B3466" t="str">
        <f>T("   Pneumatiques neufs, en caoutchouc, des types utilisés pour les motocycles")</f>
        <v xml:space="preserve">   Pneumatiques neufs, en caoutchouc, des types utilisés pour les motocycles</v>
      </c>
      <c r="C3466">
        <v>3567114</v>
      </c>
      <c r="D3466">
        <v>1343</v>
      </c>
    </row>
    <row r="3467" spans="1:4" x14ac:dyDescent="0.25">
      <c r="A3467" t="str">
        <f>T("   401212")</f>
        <v xml:space="preserve">   401212</v>
      </c>
      <c r="B3467" t="str">
        <f>T("   Pneumatiques rechapés, en caoutchouc, des types utilisés pour les autobus ou camions")</f>
        <v xml:space="preserve">   Pneumatiques rechapés, en caoutchouc, des types utilisés pour les autobus ou camions</v>
      </c>
      <c r="C3467">
        <v>1085002</v>
      </c>
      <c r="D3467">
        <v>1283</v>
      </c>
    </row>
    <row r="3468" spans="1:4" x14ac:dyDescent="0.25">
      <c r="A3468" t="str">
        <f>T("   401219")</f>
        <v xml:space="preserve">   401219</v>
      </c>
      <c r="B3468" t="str">
        <f>T("   Pneumatiques rechapés, en caoutchouc (à l'excl. des pneumatiques des types utilisés pour les voitures de tourisme, les voitures du type 'break', les voitures de course, les autobus, les camions ou les véhicules aériens)")</f>
        <v xml:space="preserve">   Pneumatiques rechapés, en caoutchouc (à l'excl. des pneumatiques des types utilisés pour les voitures de tourisme, les voitures du type 'break', les voitures de course, les autobus, les camions ou les véhicules aériens)</v>
      </c>
      <c r="C3468">
        <v>32001</v>
      </c>
      <c r="D3468">
        <v>80</v>
      </c>
    </row>
    <row r="3469" spans="1:4" x14ac:dyDescent="0.25">
      <c r="A3469" t="str">
        <f>T("   401220")</f>
        <v xml:space="preserve">   401220</v>
      </c>
      <c r="B3469" t="str">
        <f>T("   Pneumatiques usagés, en caoutchouc")</f>
        <v xml:space="preserve">   Pneumatiques usagés, en caoutchouc</v>
      </c>
      <c r="C3469">
        <v>26484993</v>
      </c>
      <c r="D3469">
        <v>48417</v>
      </c>
    </row>
    <row r="3470" spans="1:4" x14ac:dyDescent="0.25">
      <c r="A3470" t="str">
        <f>T("   401390")</f>
        <v xml:space="preserve">   401390</v>
      </c>
      <c r="B3470" t="str">
        <f>T("   Chambres à air, en caoutchouc (à l'excl. des chambres à air des types utilisés pour les voitures de tourisme, les voitures du type 'break', les voitures de course, les autobus, les camions et les bicyclettes)")</f>
        <v xml:space="preserve">   Chambres à air, en caoutchouc (à l'excl. des chambres à air des types utilisés pour les voitures de tourisme, les voitures du type 'break', les voitures de course, les autobus, les camions et les bicyclettes)</v>
      </c>
      <c r="C3470">
        <v>818600</v>
      </c>
      <c r="D3470">
        <v>671</v>
      </c>
    </row>
    <row r="3471" spans="1:4" x14ac:dyDescent="0.25">
      <c r="A3471" t="str">
        <f>T("   401699")</f>
        <v xml:space="preserve">   401699</v>
      </c>
      <c r="B3471" t="str">
        <f>T("   OUVRAGES EN CAOUTCHOUC VULCANISÉ NON-DURCI, N.D.A.")</f>
        <v xml:space="preserve">   OUVRAGES EN CAOUTCHOUC VULCANISÉ NON-DURCI, N.D.A.</v>
      </c>
      <c r="C3471">
        <v>5102057</v>
      </c>
      <c r="D3471">
        <v>110</v>
      </c>
    </row>
    <row r="3472" spans="1:4" x14ac:dyDescent="0.25">
      <c r="A3472" t="str">
        <f>T("   491000")</f>
        <v xml:space="preserve">   491000</v>
      </c>
      <c r="B3472" t="str">
        <f>T("   Calendriers de tous genres, imprimés, y.c. les blocs de calendriers à effeuiller")</f>
        <v xml:space="preserve">   Calendriers de tous genres, imprimés, y.c. les blocs de calendriers à effeuiller</v>
      </c>
      <c r="C3472">
        <v>2716956</v>
      </c>
      <c r="D3472">
        <v>1199</v>
      </c>
    </row>
    <row r="3473" spans="1:4" x14ac:dyDescent="0.25">
      <c r="A3473" t="str">
        <f>T("   491110")</f>
        <v xml:space="preserve">   491110</v>
      </c>
      <c r="B3473" t="str">
        <f>T("   Imprimés publicitaires, catalogues commerciaux et simil.")</f>
        <v xml:space="preserve">   Imprimés publicitaires, catalogues commerciaux et simil.</v>
      </c>
      <c r="C3473">
        <v>225436</v>
      </c>
      <c r="D3473">
        <v>195</v>
      </c>
    </row>
    <row r="3474" spans="1:4" x14ac:dyDescent="0.25">
      <c r="A3474" t="str">
        <f>T("   491191")</f>
        <v xml:space="preserve">   491191</v>
      </c>
      <c r="B3474" t="str">
        <f>T("   Images, gravures et photographies, n.d.a.")</f>
        <v xml:space="preserve">   Images, gravures et photographies, n.d.a.</v>
      </c>
      <c r="C3474">
        <v>17344</v>
      </c>
      <c r="D3474">
        <v>7.92</v>
      </c>
    </row>
    <row r="3475" spans="1:4" x14ac:dyDescent="0.25">
      <c r="A3475" t="str">
        <f>T("   620590")</f>
        <v xml:space="preserve">   620590</v>
      </c>
      <c r="B3475"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3475">
        <v>1000000</v>
      </c>
      <c r="D3475">
        <v>500</v>
      </c>
    </row>
    <row r="3476" spans="1:4" x14ac:dyDescent="0.25">
      <c r="A3476" t="str">
        <f>T("   630900")</f>
        <v xml:space="preserve">   630900</v>
      </c>
      <c r="B3476" t="s">
        <v>278</v>
      </c>
      <c r="C3476">
        <v>17404000</v>
      </c>
      <c r="D3476">
        <v>32029</v>
      </c>
    </row>
    <row r="3477" spans="1:4" x14ac:dyDescent="0.25">
      <c r="A3477" t="str">
        <f>T("   660110")</f>
        <v xml:space="preserve">   660110</v>
      </c>
      <c r="B3477" t="str">
        <f>T("   Parasols de jardin et articles simil. (sauf tentes de plage)")</f>
        <v xml:space="preserve">   Parasols de jardin et articles simil. (sauf tentes de plage)</v>
      </c>
      <c r="C3477">
        <v>58656</v>
      </c>
      <c r="D3477">
        <v>11</v>
      </c>
    </row>
    <row r="3478" spans="1:4" x14ac:dyDescent="0.25">
      <c r="A3478" t="str">
        <f>T("   660199")</f>
        <v xml:space="preserve">   660199</v>
      </c>
      <c r="B3478" t="str">
        <f>T("   Parapluies, y.c. les parapluies-cannes et ombrelles (sauf parapluies et ombrelles à mât ou à manche télescopique, parasols de jardin et articles simil. et sauf jouets d'enfants)")</f>
        <v xml:space="preserve">   Parapluies, y.c. les parapluies-cannes et ombrelles (sauf parapluies et ombrelles à mât ou à manche télescopique, parasols de jardin et articles simil. et sauf jouets d'enfants)</v>
      </c>
      <c r="C3478">
        <v>225793</v>
      </c>
      <c r="D3478">
        <v>9.4</v>
      </c>
    </row>
    <row r="3479" spans="1:4" x14ac:dyDescent="0.25">
      <c r="A3479" t="str">
        <f>T("   701329")</f>
        <v xml:space="preserve">   701329</v>
      </c>
      <c r="B3479" t="str">
        <f>T("   Verres à boire (autres qu'en vitrocérame, autres qu'en cristal au plomb)")</f>
        <v xml:space="preserve">   Verres à boire (autres qu'en vitrocérame, autres qu'en cristal au plomb)</v>
      </c>
      <c r="C3479">
        <v>364346</v>
      </c>
      <c r="D3479">
        <v>136.88999999999999</v>
      </c>
    </row>
    <row r="3480" spans="1:4" x14ac:dyDescent="0.25">
      <c r="A3480" t="str">
        <f>T("   731589")</f>
        <v xml:space="preserve">   731589</v>
      </c>
      <c r="B3480" t="s">
        <v>358</v>
      </c>
      <c r="C3480">
        <v>6781314</v>
      </c>
      <c r="D3480">
        <v>805</v>
      </c>
    </row>
    <row r="3481" spans="1:4" x14ac:dyDescent="0.25">
      <c r="A3481" t="str">
        <f>T("   731815")</f>
        <v xml:space="preserve">   731815</v>
      </c>
      <c r="B3481" t="s">
        <v>359</v>
      </c>
      <c r="C3481">
        <v>1032172</v>
      </c>
      <c r="D3481">
        <v>160</v>
      </c>
    </row>
    <row r="3482" spans="1:4" x14ac:dyDescent="0.25">
      <c r="A3482" t="str">
        <f>T("   732394")</f>
        <v xml:space="preserve">   732394</v>
      </c>
      <c r="B3482" t="s">
        <v>367</v>
      </c>
      <c r="C3482">
        <v>700000</v>
      </c>
      <c r="D3482">
        <v>300</v>
      </c>
    </row>
    <row r="3483" spans="1:4" x14ac:dyDescent="0.25">
      <c r="A3483" t="str">
        <f>T("   761699")</f>
        <v xml:space="preserve">   761699</v>
      </c>
      <c r="B3483" t="str">
        <f>T("   Ouvrages en aluminium, n.d.a.")</f>
        <v xml:space="preserve">   Ouvrages en aluminium, n.d.a.</v>
      </c>
      <c r="C3483">
        <v>8896084</v>
      </c>
      <c r="D3483">
        <v>1235.5</v>
      </c>
    </row>
    <row r="3484" spans="1:4" x14ac:dyDescent="0.25">
      <c r="A3484" t="str">
        <f>T("   820551")</f>
        <v xml:space="preserve">   820551</v>
      </c>
      <c r="B3484" t="str">
        <f>T("   Outils à main d'économie domestique, non mécaniques, avec partie travaillante en métaux communs, n.d.a.")</f>
        <v xml:space="preserve">   Outils à main d'économie domestique, non mécaniques, avec partie travaillante en métaux communs, n.d.a.</v>
      </c>
      <c r="C3484">
        <v>86108</v>
      </c>
      <c r="D3484">
        <v>39.32</v>
      </c>
    </row>
    <row r="3485" spans="1:4" x14ac:dyDescent="0.25">
      <c r="A3485" t="str">
        <f>T("   820750")</f>
        <v xml:space="preserve">   820750</v>
      </c>
      <c r="B3485" t="str">
        <f>T("   OUTILS INTERCHANGEABLES À PERCER (À L'EXCL. DES OUTILS DE FORAGE OU DE SONDAGE ET DES OUTILS À TARAUDER) [01/01/1988-31/12/1993: OUTILS INTERCHANGEABLES (SAUF OUTILS DE FORAGE OU DE SONDAGE ET SAUF OUTILS A TARAUDER OU A FILETER)]")</f>
        <v xml:space="preserve">   OUTILS INTERCHANGEABLES À PERCER (À L'EXCL. DES OUTILS DE FORAGE OU DE SONDAGE ET DES OUTILS À TARAUDER) [01/01/1988-31/12/1993: OUTILS INTERCHANGEABLES (SAUF OUTILS DE FORAGE OU DE SONDAGE ET SAUF OUTILS A TARAUDER OU A FILETER)]</v>
      </c>
      <c r="C3485">
        <v>3252971</v>
      </c>
      <c r="D3485">
        <v>5420</v>
      </c>
    </row>
    <row r="3486" spans="1:4" x14ac:dyDescent="0.25">
      <c r="A3486" t="str">
        <f>T("   830110")</f>
        <v xml:space="preserve">   830110</v>
      </c>
      <c r="B3486" t="str">
        <f>T("   Cadenas, en métaux communs")</f>
        <v xml:space="preserve">   Cadenas, en métaux communs</v>
      </c>
      <c r="C3486">
        <v>15343</v>
      </c>
      <c r="D3486">
        <v>7</v>
      </c>
    </row>
    <row r="3487" spans="1:4" x14ac:dyDescent="0.25">
      <c r="A3487" t="str">
        <f>T("   840999")</f>
        <v xml:space="preserve">   840999</v>
      </c>
      <c r="B3487"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3487">
        <v>438126</v>
      </c>
      <c r="D3487">
        <v>114</v>
      </c>
    </row>
    <row r="3488" spans="1:4" x14ac:dyDescent="0.25">
      <c r="A3488" t="str">
        <f>T("   841381")</f>
        <v xml:space="preserve">   841381</v>
      </c>
      <c r="B3488" t="s">
        <v>397</v>
      </c>
      <c r="C3488">
        <v>1286993</v>
      </c>
      <c r="D3488">
        <v>77</v>
      </c>
    </row>
    <row r="3489" spans="1:4" x14ac:dyDescent="0.25">
      <c r="A3489" t="str">
        <f>T("   841382")</f>
        <v xml:space="preserve">   841382</v>
      </c>
      <c r="B3489" t="str">
        <f>T("   Elévateurs à liquides (à l'excl. des pompes)")</f>
        <v xml:space="preserve">   Elévateurs à liquides (à l'excl. des pompes)</v>
      </c>
      <c r="C3489">
        <v>7609615</v>
      </c>
      <c r="D3489">
        <v>649.5</v>
      </c>
    </row>
    <row r="3490" spans="1:4" x14ac:dyDescent="0.25">
      <c r="A3490" t="str">
        <f>T("   841392")</f>
        <v xml:space="preserve">   841392</v>
      </c>
      <c r="B3490" t="str">
        <f>T("   Parties d'élévateurs à liquides, n.d.a.")</f>
        <v xml:space="preserve">   Parties d'élévateurs à liquides, n.d.a.</v>
      </c>
      <c r="C3490">
        <v>976941</v>
      </c>
      <c r="D3490">
        <v>649.5</v>
      </c>
    </row>
    <row r="3491" spans="1:4" x14ac:dyDescent="0.25">
      <c r="A3491" t="str">
        <f>T("   841430")</f>
        <v xml:space="preserve">   841430</v>
      </c>
      <c r="B3491" t="str">
        <f>T("   Compresseurs des types utilisés pour équipements frigorifiques")</f>
        <v xml:space="preserve">   Compresseurs des types utilisés pour équipements frigorifiques</v>
      </c>
      <c r="C3491">
        <v>63046815</v>
      </c>
      <c r="D3491">
        <v>2353.5</v>
      </c>
    </row>
    <row r="3492" spans="1:4" x14ac:dyDescent="0.25">
      <c r="A3492" t="str">
        <f>T("   841459")</f>
        <v xml:space="preserve">   841459</v>
      </c>
      <c r="B3492" t="str">
        <f>T("   Ventilateurs (sauf ventilateurs de table, de sol, muraux, plafonniers, de toitures ou de fenêtres, à moteur électrique incorporé, d'une puissance &lt;= 125 W)")</f>
        <v xml:space="preserve">   Ventilateurs (sauf ventilateurs de table, de sol, muraux, plafonniers, de toitures ou de fenêtres, à moteur électrique incorporé, d'une puissance &lt;= 125 W)</v>
      </c>
      <c r="C3492">
        <v>517592</v>
      </c>
      <c r="D3492">
        <v>195</v>
      </c>
    </row>
    <row r="3493" spans="1:4" x14ac:dyDescent="0.25">
      <c r="A3493" t="str">
        <f>T("   841480")</f>
        <v xml:space="preserve">   841480</v>
      </c>
      <c r="B3493" t="s">
        <v>398</v>
      </c>
      <c r="C3493">
        <v>125829</v>
      </c>
      <c r="D3493">
        <v>23</v>
      </c>
    </row>
    <row r="3494" spans="1:4" x14ac:dyDescent="0.25">
      <c r="A3494" t="str">
        <f>T("   841829")</f>
        <v xml:space="preserve">   841829</v>
      </c>
      <c r="B3494" t="str">
        <f>T("   Réfrigérateurs ménagers à absorption, non-électriques")</f>
        <v xml:space="preserve">   Réfrigérateurs ménagers à absorption, non-électriques</v>
      </c>
      <c r="C3494">
        <v>8576677</v>
      </c>
      <c r="D3494">
        <v>920</v>
      </c>
    </row>
    <row r="3495" spans="1:4" x14ac:dyDescent="0.25">
      <c r="A3495" t="str">
        <f>T("   841830")</f>
        <v xml:space="preserve">   841830</v>
      </c>
      <c r="B3495" t="str">
        <f>T("   Meubles congélateurs-conservateurs du type coffre, capacité &lt;= 800 l")</f>
        <v xml:space="preserve">   Meubles congélateurs-conservateurs du type coffre, capacité &lt;= 800 l</v>
      </c>
      <c r="C3495">
        <v>42688132</v>
      </c>
      <c r="D3495">
        <v>14865</v>
      </c>
    </row>
    <row r="3496" spans="1:4" x14ac:dyDescent="0.25">
      <c r="A3496" t="str">
        <f>T("   841850")</f>
        <v xml:space="preserve">   841850</v>
      </c>
      <c r="B3496" t="s">
        <v>404</v>
      </c>
      <c r="C3496">
        <v>67336262</v>
      </c>
      <c r="D3496">
        <v>6375</v>
      </c>
    </row>
    <row r="3497" spans="1:4" x14ac:dyDescent="0.25">
      <c r="A3497" t="str">
        <f>T("   841899")</f>
        <v xml:space="preserve">   841899</v>
      </c>
      <c r="B3497" t="str">
        <f>T("   Parties de réfrigérateurs et de congélateurs-conservateurs du type armoire et du type coffre et d'autres matériel, machines et appareils pour la production du froid, parties de pompes à chaleur, n.d.a.")</f>
        <v xml:space="preserve">   Parties de réfrigérateurs et de congélateurs-conservateurs du type armoire et du type coffre et d'autres matériel, machines et appareils pour la production du froid, parties de pompes à chaleur, n.d.a.</v>
      </c>
      <c r="C3497">
        <v>5416635</v>
      </c>
      <c r="D3497">
        <v>27331</v>
      </c>
    </row>
    <row r="3498" spans="1:4" x14ac:dyDescent="0.25">
      <c r="A3498" t="str">
        <f>T("   842121")</f>
        <v xml:space="preserve">   842121</v>
      </c>
      <c r="B3498" t="str">
        <f>T("   Appareils pour la filtration ou l'épuration des eaux")</f>
        <v xml:space="preserve">   Appareils pour la filtration ou l'épuration des eaux</v>
      </c>
      <c r="C3498">
        <v>7554839</v>
      </c>
      <c r="D3498">
        <v>1385</v>
      </c>
    </row>
    <row r="3499" spans="1:4" x14ac:dyDescent="0.25">
      <c r="A3499" t="str">
        <f>T("   842139")</f>
        <v xml:space="preserve">   842139</v>
      </c>
      <c r="B3499" t="str">
        <f>T("   Appareils pour la filtration ou l'épuration des gaz (autres que pour la séparation isotopique et sauf les filtres d'entrée d'air pour moteurs à allumage par étincelles ou par compression)")</f>
        <v xml:space="preserve">   Appareils pour la filtration ou l'épuration des gaz (autres que pour la séparation isotopique et sauf les filtres d'entrée d'air pour moteurs à allumage par étincelles ou par compression)</v>
      </c>
      <c r="C3499">
        <v>963381</v>
      </c>
      <c r="D3499">
        <v>160</v>
      </c>
    </row>
    <row r="3500" spans="1:4" x14ac:dyDescent="0.25">
      <c r="A3500" t="str">
        <f>T("   842199")</f>
        <v xml:space="preserve">   842199</v>
      </c>
      <c r="B3500" t="str">
        <f>T("   Parties d'appareils pour la filtration ou l'épuration des liquides ou des gaz, n.d.a.")</f>
        <v xml:space="preserve">   Parties d'appareils pour la filtration ou l'épuration des liquides ou des gaz, n.d.a.</v>
      </c>
      <c r="C3500">
        <v>65728</v>
      </c>
      <c r="D3500">
        <v>12</v>
      </c>
    </row>
    <row r="3501" spans="1:4" x14ac:dyDescent="0.25">
      <c r="A3501" t="str">
        <f>T("   842430")</f>
        <v xml:space="preserve">   842430</v>
      </c>
      <c r="B3501" t="s">
        <v>409</v>
      </c>
      <c r="C3501">
        <v>3670908</v>
      </c>
      <c r="D3501">
        <v>2</v>
      </c>
    </row>
    <row r="3502" spans="1:4" x14ac:dyDescent="0.25">
      <c r="A3502" t="str">
        <f>T("   843490")</f>
        <v xml:space="preserve">   843490</v>
      </c>
      <c r="B3502" t="str">
        <f>T("   Parties de machines à traire et autres machines et appareils de laiterie, n.d.a.")</f>
        <v xml:space="preserve">   Parties de machines à traire et autres machines et appareils de laiterie, n.d.a.</v>
      </c>
      <c r="C3502">
        <v>409319</v>
      </c>
      <c r="D3502">
        <v>13.35</v>
      </c>
    </row>
    <row r="3503" spans="1:4" x14ac:dyDescent="0.25">
      <c r="A3503" t="str">
        <f>T("   847190")</f>
        <v xml:space="preserve">   847190</v>
      </c>
      <c r="B3503"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3503">
        <v>21210940</v>
      </c>
      <c r="D3503">
        <v>615</v>
      </c>
    </row>
    <row r="3504" spans="1:4" x14ac:dyDescent="0.25">
      <c r="A3504" t="str">
        <f>T("   847330")</f>
        <v xml:space="preserve">   847330</v>
      </c>
      <c r="B3504" t="str">
        <f>T("   Parties et accessoires pour machines automatiques de traitement de l'information ou pour autres machines du n° 8471, n.d.a.")</f>
        <v xml:space="preserve">   Parties et accessoires pour machines automatiques de traitement de l'information ou pour autres machines du n° 8471, n.d.a.</v>
      </c>
      <c r="C3504">
        <v>487601</v>
      </c>
      <c r="D3504">
        <v>2</v>
      </c>
    </row>
    <row r="3505" spans="1:4" x14ac:dyDescent="0.25">
      <c r="A3505" t="str">
        <f>T("   847490")</f>
        <v xml:space="preserve">   847490</v>
      </c>
      <c r="B3505" t="str">
        <f>T("   Parties des machines et appareils pour le travail des matières minérales du n° 8474, n.d.a.")</f>
        <v xml:space="preserve">   Parties des machines et appareils pour le travail des matières minérales du n° 8474, n.d.a.</v>
      </c>
      <c r="C3505">
        <v>2673474</v>
      </c>
      <c r="D3505">
        <v>403</v>
      </c>
    </row>
    <row r="3506" spans="1:4" x14ac:dyDescent="0.25">
      <c r="A3506" t="str">
        <f>T("   848120")</f>
        <v xml:space="preserve">   848120</v>
      </c>
      <c r="B3506" t="str">
        <f>T("   Valves pour transmissions oléohydrauliques ou pneumatiques")</f>
        <v xml:space="preserve">   Valves pour transmissions oléohydrauliques ou pneumatiques</v>
      </c>
      <c r="C3506">
        <v>56309</v>
      </c>
      <c r="D3506">
        <v>293</v>
      </c>
    </row>
    <row r="3507" spans="1:4" x14ac:dyDescent="0.25">
      <c r="A3507" t="str">
        <f>T("   848130")</f>
        <v xml:space="preserve">   848130</v>
      </c>
      <c r="B3507" t="str">
        <f>T("   Clapets et soupapes de retenue, pour tuyauteries, chaudières, réservoirs, cuves ou contenants simil.")</f>
        <v xml:space="preserve">   Clapets et soupapes de retenue, pour tuyauteries, chaudières, réservoirs, cuves ou contenants simil.</v>
      </c>
      <c r="C3507">
        <v>394451</v>
      </c>
      <c r="D3507">
        <v>1</v>
      </c>
    </row>
    <row r="3508" spans="1:4" x14ac:dyDescent="0.25">
      <c r="A3508" t="str">
        <f>T("   848310")</f>
        <v xml:space="preserve">   848310</v>
      </c>
      <c r="B3508" t="str">
        <f>T("   Arbres de transmission pour machines, y.c. -les arbres à cames et les vilebrequins- et manivelles")</f>
        <v xml:space="preserve">   Arbres de transmission pour machines, y.c. -les arbres à cames et les vilebrequins- et manivelles</v>
      </c>
      <c r="C3508">
        <v>4982016</v>
      </c>
      <c r="D3508">
        <v>136</v>
      </c>
    </row>
    <row r="3509" spans="1:4" x14ac:dyDescent="0.25">
      <c r="A3509" t="str">
        <f>T("   848390")</f>
        <v xml:space="preserve">   848390</v>
      </c>
      <c r="B3509" t="str">
        <f>T("   Roues dentées et autres organes élémentaires de transmission présentés séparément; parties d'organes mécaniques, d'organes de transmission, d'engrenages, de variateurs de vitesses, d'organes d'accouplement et d'autres organes du n° 8483, n.d.a.")</f>
        <v xml:space="preserve">   Roues dentées et autres organes élémentaires de transmission présentés séparément; parties d'organes mécaniques, d'organes de transmission, d'engrenages, de variateurs de vitesses, d'organes d'accouplement et d'autres organes du n° 8483, n.d.a.</v>
      </c>
      <c r="C3509">
        <v>1226725</v>
      </c>
      <c r="D3509">
        <v>2</v>
      </c>
    </row>
    <row r="3510" spans="1:4" x14ac:dyDescent="0.25">
      <c r="A3510" t="str">
        <f>T("   850140")</f>
        <v xml:space="preserve">   850140</v>
      </c>
      <c r="B3510" t="str">
        <f>T("   Moteurs à courant alternatif, monophasés")</f>
        <v xml:space="preserve">   Moteurs à courant alternatif, monophasés</v>
      </c>
      <c r="C3510">
        <v>80003</v>
      </c>
      <c r="D3510">
        <v>220</v>
      </c>
    </row>
    <row r="3511" spans="1:4" x14ac:dyDescent="0.25">
      <c r="A3511" t="str">
        <f>T("   850780")</f>
        <v xml:space="preserve">   850780</v>
      </c>
      <c r="B3511" t="str">
        <f>T("   Accumulateurs électriques (sauf hors d'usage et autres qu'au plomb, au nickel-cadmium ou au nickel-fer)")</f>
        <v xml:space="preserve">   Accumulateurs électriques (sauf hors d'usage et autres qu'au plomb, au nickel-cadmium ou au nickel-fer)</v>
      </c>
      <c r="C3511">
        <v>322431</v>
      </c>
      <c r="D3511">
        <v>15</v>
      </c>
    </row>
    <row r="3512" spans="1:4" x14ac:dyDescent="0.25">
      <c r="A3512" t="str">
        <f>T("   851830")</f>
        <v xml:space="preserve">   851830</v>
      </c>
      <c r="B3512" t="s">
        <v>460</v>
      </c>
      <c r="C3512">
        <v>2931167</v>
      </c>
      <c r="D3512">
        <v>42</v>
      </c>
    </row>
    <row r="3513" spans="1:4" x14ac:dyDescent="0.25">
      <c r="A3513" t="str">
        <f>T("   852390")</f>
        <v xml:space="preserve">   852390</v>
      </c>
      <c r="B3513" t="str">
        <f>T("   SUPPORTS PRÉPARÉS POUR L'ENREGISTREMENT DU SON OU POUR ENREGISTREMENTS ANALOGUES, NON-ENREGISTRÉS (AUTRES QUE BANDES ET DISQUES MAGNÉTIQUES, CARTES MUNIES D'UNE PISTE MAGNÉTIQUE ET PRODUITS DU CHAPITRE 37)")</f>
        <v xml:space="preserve">   SUPPORTS PRÉPARÉS POUR L'ENREGISTREMENT DU SON OU POUR ENREGISTREMENTS ANALOGUES, NON-ENREGISTRÉS (AUTRES QUE BANDES ET DISQUES MAGNÉTIQUES, CARTES MUNIES D'UNE PISTE MAGNÉTIQUE ET PRODUITS DU CHAPITRE 37)</v>
      </c>
      <c r="C3513">
        <v>346223</v>
      </c>
      <c r="D3513">
        <v>0.4</v>
      </c>
    </row>
    <row r="3514" spans="1:4" x14ac:dyDescent="0.25">
      <c r="A3514" t="str">
        <f>T("   852510")</f>
        <v xml:space="preserve">   852510</v>
      </c>
      <c r="B3514" t="str">
        <f>T("   Appareils d'émission, pour la radiotéléphonie, la radiotélégraphie, la radiodiffusion ou la télévision")</f>
        <v xml:space="preserve">   Appareils d'émission, pour la radiotéléphonie, la radiotélégraphie, la radiodiffusion ou la télévision</v>
      </c>
      <c r="C3514">
        <v>4872318</v>
      </c>
      <c r="D3514">
        <v>15</v>
      </c>
    </row>
    <row r="3515" spans="1:4" x14ac:dyDescent="0.25">
      <c r="A3515" t="str">
        <f>T("   852540")</f>
        <v xml:space="preserve">   852540</v>
      </c>
      <c r="B3515" t="str">
        <f>T("   Appareils de prise de vues fixes vidéo et autres caméscopes; appareils photographiques numériques")</f>
        <v xml:space="preserve">   Appareils de prise de vues fixes vidéo et autres caméscopes; appareils photographiques numériques</v>
      </c>
      <c r="C3515">
        <v>555198</v>
      </c>
      <c r="D3515">
        <v>10</v>
      </c>
    </row>
    <row r="3516" spans="1:4" x14ac:dyDescent="0.25">
      <c r="A3516" t="str">
        <f>T("   852790")</f>
        <v xml:space="preserve">   852790</v>
      </c>
      <c r="B3516" t="str">
        <f>T("   Récepteurs pour la radiotéléphonie, la radiotélégraphie ou la radiodiffusion commerciale")</f>
        <v xml:space="preserve">   Récepteurs pour la radiotéléphonie, la radiotélégraphie ou la radiodiffusion commerciale</v>
      </c>
      <c r="C3516">
        <v>2592804</v>
      </c>
      <c r="D3516">
        <v>30</v>
      </c>
    </row>
    <row r="3517" spans="1:4" x14ac:dyDescent="0.25">
      <c r="A3517" t="str">
        <f>T("   852990")</f>
        <v xml:space="preserve">   852990</v>
      </c>
      <c r="B3517" t="s">
        <v>471</v>
      </c>
      <c r="C3517">
        <v>1236874</v>
      </c>
      <c r="D3517">
        <v>129</v>
      </c>
    </row>
    <row r="3518" spans="1:4" x14ac:dyDescent="0.25">
      <c r="A3518" t="str">
        <f>T("   853929")</f>
        <v xml:space="preserve">   853929</v>
      </c>
      <c r="B3518" t="str">
        <f>T("   Lampes et tubes à incandescence électriques (autres que lampes et tubes halogènes, au tungstène, lampes d'une puissance &lt;= 200 W et pour une tension &gt; 100 V, et lampes à rayons ultraviolets ou infrarouges)")</f>
        <v xml:space="preserve">   Lampes et tubes à incandescence électriques (autres que lampes et tubes halogènes, au tungstène, lampes d'une puissance &lt;= 200 W et pour une tension &gt; 100 V, et lampes à rayons ultraviolets ou infrarouges)</v>
      </c>
      <c r="C3518">
        <v>115425</v>
      </c>
      <c r="D3518">
        <v>2</v>
      </c>
    </row>
    <row r="3519" spans="1:4" x14ac:dyDescent="0.25">
      <c r="A3519" t="str">
        <f>T("   853939")</f>
        <v xml:space="preserve">   853939</v>
      </c>
      <c r="B3519" t="str">
        <f>T("   Lampes et tubes à décharge (autres que fluorescents, à cathode chaude, à vapeur de mercure ou de sodium, à halogénure métallique et qu'à rayons ultraviolets)")</f>
        <v xml:space="preserve">   Lampes et tubes à décharge (autres que fluorescents, à cathode chaude, à vapeur de mercure ou de sodium, à halogénure métallique et qu'à rayons ultraviolets)</v>
      </c>
      <c r="C3519">
        <v>52800</v>
      </c>
      <c r="D3519">
        <v>10</v>
      </c>
    </row>
    <row r="3520" spans="1:4" x14ac:dyDescent="0.25">
      <c r="A3520" t="str">
        <f>T("   854389")</f>
        <v xml:space="preserve">   854389</v>
      </c>
      <c r="B3520" t="str">
        <f>T("   MACHINES ET APPAREILS ÉLECTRIQUES AYANT UNE FONCTION PROPRE, N.D.A. DANS LE CHAPITRE 85")</f>
        <v xml:space="preserve">   MACHINES ET APPAREILS ÉLECTRIQUES AYANT UNE FONCTION PROPRE, N.D.A. DANS LE CHAPITRE 85</v>
      </c>
      <c r="C3520">
        <v>680826</v>
      </c>
      <c r="D3520">
        <v>125</v>
      </c>
    </row>
    <row r="3521" spans="1:4" x14ac:dyDescent="0.25">
      <c r="A3521" t="str">
        <f>T("   854420")</f>
        <v xml:space="preserve">   854420</v>
      </c>
      <c r="B3521" t="str">
        <f>T("   Câbles coaxiaux et autres conducteurs électriques coaxiaux, isolés")</f>
        <v xml:space="preserve">   Câbles coaxiaux et autres conducteurs électriques coaxiaux, isolés</v>
      </c>
      <c r="C3521">
        <v>88555</v>
      </c>
      <c r="D3521">
        <v>6</v>
      </c>
    </row>
    <row r="3522" spans="1:4" x14ac:dyDescent="0.25">
      <c r="A3522" t="str">
        <f>T("   870120")</f>
        <v xml:space="preserve">   870120</v>
      </c>
      <c r="B3522" t="str">
        <f>T("   Tracteurs routiers pour semi-remorques")</f>
        <v xml:space="preserve">   Tracteurs routiers pour semi-remorques</v>
      </c>
      <c r="C3522">
        <v>19414985</v>
      </c>
      <c r="D3522">
        <v>56998</v>
      </c>
    </row>
    <row r="3523" spans="1:4" x14ac:dyDescent="0.25">
      <c r="A3523" t="str">
        <f>T("   870290")</f>
        <v xml:space="preserve">   870290</v>
      </c>
      <c r="B3523" t="s">
        <v>478</v>
      </c>
      <c r="C3523">
        <v>15600000</v>
      </c>
      <c r="D3523">
        <v>26337</v>
      </c>
    </row>
    <row r="3524" spans="1:4" x14ac:dyDescent="0.25">
      <c r="A3524" t="str">
        <f>T("   870322")</f>
        <v xml:space="preserve">   870322</v>
      </c>
      <c r="B3524" t="s">
        <v>480</v>
      </c>
      <c r="C3524">
        <v>52102734</v>
      </c>
      <c r="D3524">
        <v>46102</v>
      </c>
    </row>
    <row r="3525" spans="1:4" x14ac:dyDescent="0.25">
      <c r="A3525" t="str">
        <f>T("   870323")</f>
        <v xml:space="preserve">   870323</v>
      </c>
      <c r="B3525" t="s">
        <v>481</v>
      </c>
      <c r="C3525">
        <v>40220087</v>
      </c>
      <c r="D3525">
        <v>6520</v>
      </c>
    </row>
    <row r="3526" spans="1:4" x14ac:dyDescent="0.25">
      <c r="A3526" t="str">
        <f>T("   870332")</f>
        <v xml:space="preserve">   870332</v>
      </c>
      <c r="B3526" t="s">
        <v>484</v>
      </c>
      <c r="C3526">
        <v>1247712</v>
      </c>
      <c r="D3526">
        <v>4500</v>
      </c>
    </row>
    <row r="3527" spans="1:4" x14ac:dyDescent="0.25">
      <c r="A3527" t="str">
        <f>T("   870333")</f>
        <v xml:space="preserve">   870333</v>
      </c>
      <c r="B3527" t="s">
        <v>485</v>
      </c>
      <c r="C3527">
        <v>8052726</v>
      </c>
      <c r="D3527">
        <v>8400</v>
      </c>
    </row>
    <row r="3528" spans="1:4" x14ac:dyDescent="0.25">
      <c r="A3528" t="str">
        <f>T("   870421")</f>
        <v xml:space="preserve">   870421</v>
      </c>
      <c r="B3528" t="s">
        <v>486</v>
      </c>
      <c r="C3528">
        <v>2400000</v>
      </c>
      <c r="D3528">
        <v>1750</v>
      </c>
    </row>
    <row r="3529" spans="1:4" x14ac:dyDescent="0.25">
      <c r="A3529" t="str">
        <f>T("   870422")</f>
        <v xml:space="preserve">   870422</v>
      </c>
      <c r="B3529" t="s">
        <v>487</v>
      </c>
      <c r="C3529">
        <v>2957113</v>
      </c>
      <c r="D3529">
        <v>26300</v>
      </c>
    </row>
    <row r="3530" spans="1:4" x14ac:dyDescent="0.25">
      <c r="A3530" t="str">
        <f>T("   870423")</f>
        <v xml:space="preserve">   870423</v>
      </c>
      <c r="B3530" t="s">
        <v>488</v>
      </c>
      <c r="C3530">
        <v>6381200</v>
      </c>
      <c r="D3530">
        <v>17500</v>
      </c>
    </row>
    <row r="3531" spans="1:4" x14ac:dyDescent="0.25">
      <c r="A3531" t="str">
        <f>T("   870431")</f>
        <v xml:space="preserve">   870431</v>
      </c>
      <c r="B3531" t="s">
        <v>489</v>
      </c>
      <c r="C3531">
        <v>2400000</v>
      </c>
      <c r="D3531">
        <v>2450</v>
      </c>
    </row>
    <row r="3532" spans="1:4" x14ac:dyDescent="0.25">
      <c r="A3532" t="str">
        <f>T("   871200")</f>
        <v xml:space="preserve">   871200</v>
      </c>
      <c r="B3532" t="str">
        <f>T("   BICYCLETTES ET AUTRES CYCLES, -Y.C. LES TRIPORTEURS-, SANS MOTEUR")</f>
        <v xml:space="preserve">   BICYCLETTES ET AUTRES CYCLES, -Y.C. LES TRIPORTEURS-, SANS MOTEUR</v>
      </c>
      <c r="C3532">
        <v>5164041</v>
      </c>
      <c r="D3532">
        <v>160</v>
      </c>
    </row>
    <row r="3533" spans="1:4" x14ac:dyDescent="0.25">
      <c r="A3533" t="str">
        <f>T("   871499")</f>
        <v xml:space="preserve">   871499</v>
      </c>
      <c r="B3533" t="str">
        <f>T("   Parties et accessoires, de bicyclettes, n.d.a.")</f>
        <v xml:space="preserve">   Parties et accessoires, de bicyclettes, n.d.a.</v>
      </c>
      <c r="C3533">
        <v>10566339</v>
      </c>
      <c r="D3533">
        <v>1308</v>
      </c>
    </row>
    <row r="3534" spans="1:4" x14ac:dyDescent="0.25">
      <c r="A3534" t="str">
        <f>T("   871640")</f>
        <v xml:space="preserve">   871640</v>
      </c>
      <c r="B3534"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3534">
        <v>6172874</v>
      </c>
      <c r="D3534">
        <v>16120</v>
      </c>
    </row>
    <row r="3535" spans="1:4" x14ac:dyDescent="0.25">
      <c r="A3535" t="str">
        <f>T("   890190")</f>
        <v xml:space="preserve">   890190</v>
      </c>
      <c r="B3535" t="str">
        <f>T("   Cargos et bateaux pour le transport de personnes et de marchandises (autres que bateaux frigorifiques, bateaux-citernes, cargos et bateaux destinés essentiellement au transport des personnes)")</f>
        <v xml:space="preserve">   Cargos et bateaux pour le transport de personnes et de marchandises (autres que bateaux frigorifiques, bateaux-citernes, cargos et bateaux destinés essentiellement au transport des personnes)</v>
      </c>
      <c r="C3535">
        <v>73143</v>
      </c>
      <c r="D3535">
        <v>65</v>
      </c>
    </row>
    <row r="3536" spans="1:4" x14ac:dyDescent="0.25">
      <c r="A3536" t="str">
        <f>T("   890590")</f>
        <v xml:space="preserve">   890590</v>
      </c>
      <c r="B3536" t="s">
        <v>497</v>
      </c>
      <c r="C3536">
        <v>487629</v>
      </c>
      <c r="D3536">
        <v>290</v>
      </c>
    </row>
    <row r="3537" spans="1:4" x14ac:dyDescent="0.25">
      <c r="A3537" t="str">
        <f>T("   901831")</f>
        <v xml:space="preserve">   901831</v>
      </c>
      <c r="B3537" t="str">
        <f>T("   Seringues, avec ou sans aiguilles, pour la médecine")</f>
        <v xml:space="preserve">   Seringues, avec ou sans aiguilles, pour la médecine</v>
      </c>
      <c r="C3537">
        <v>8286289</v>
      </c>
      <c r="D3537">
        <v>1138</v>
      </c>
    </row>
    <row r="3538" spans="1:4" x14ac:dyDescent="0.25">
      <c r="A3538" t="str">
        <f>T("   901890")</f>
        <v xml:space="preserve">   901890</v>
      </c>
      <c r="B3538" t="str">
        <f>T("   Instruments et appareils pour la médecine, la chirurgie ou l'art vétérinaire, n.d.a.")</f>
        <v xml:space="preserve">   Instruments et appareils pour la médecine, la chirurgie ou l'art vétérinaire, n.d.a.</v>
      </c>
      <c r="C3538">
        <v>6467983</v>
      </c>
      <c r="D3538">
        <v>5382</v>
      </c>
    </row>
    <row r="3539" spans="1:4" x14ac:dyDescent="0.25">
      <c r="A3539" t="str">
        <f>T("   901920")</f>
        <v xml:space="preserve">   901920</v>
      </c>
      <c r="B3539" t="str">
        <f>T("   APPAREILS D'OZONOTHERAPIE, D'OXYGÉNOTHERAPIE, D'AÉROSOLTHERAPIE; APPAREILS RESPIRATOIRES DE RÉANIMATION ET AUTRES APPAREILS DE THERAPIE RESPIRATOIRE")</f>
        <v xml:space="preserve">   APPAREILS D'OZONOTHERAPIE, D'OXYGÉNOTHERAPIE, D'AÉROSOLTHERAPIE; APPAREILS RESPIRATOIRES DE RÉANIMATION ET AUTRES APPAREILS DE THERAPIE RESPIRATOIRE</v>
      </c>
      <c r="C3539">
        <v>4278827</v>
      </c>
      <c r="D3539">
        <v>66</v>
      </c>
    </row>
    <row r="3540" spans="1:4" x14ac:dyDescent="0.25">
      <c r="A3540" t="str">
        <f>T("   902300")</f>
        <v xml:space="preserve">   902300</v>
      </c>
      <c r="B3540" t="s">
        <v>504</v>
      </c>
      <c r="C3540">
        <v>3527237</v>
      </c>
      <c r="D3540">
        <v>2706</v>
      </c>
    </row>
    <row r="3541" spans="1:4" x14ac:dyDescent="0.25">
      <c r="A3541" t="str">
        <f>T("   903210")</f>
        <v xml:space="preserve">   903210</v>
      </c>
      <c r="B3541" t="str">
        <f>T("   Thermostats pour la régulation ou le contrôle automatiques")</f>
        <v xml:space="preserve">   Thermostats pour la régulation ou le contrôle automatiques</v>
      </c>
      <c r="C3541">
        <v>27413</v>
      </c>
      <c r="D3541">
        <v>10</v>
      </c>
    </row>
    <row r="3542" spans="1:4" x14ac:dyDescent="0.25">
      <c r="A3542" t="str">
        <f>T("   940350")</f>
        <v xml:space="preserve">   940350</v>
      </c>
      <c r="B3542" t="str">
        <f>T("   Meubles pour chambres à coucher, en bois (sauf sièges)")</f>
        <v xml:space="preserve">   Meubles pour chambres à coucher, en bois (sauf sièges)</v>
      </c>
      <c r="C3542">
        <v>1800000</v>
      </c>
      <c r="D3542">
        <v>800</v>
      </c>
    </row>
    <row r="3543" spans="1:4" x14ac:dyDescent="0.25">
      <c r="A3543" t="str">
        <f>T("   940380")</f>
        <v xml:space="preserve">   940380</v>
      </c>
      <c r="B3543" t="str">
        <f>T("   Meubles en rotin, osier, bambou ou autres matières (sauf métal, bois et matières plastiques)")</f>
        <v xml:space="preserve">   Meubles en rotin, osier, bambou ou autres matières (sauf métal, bois et matières plastiques)</v>
      </c>
      <c r="C3543">
        <v>13441800</v>
      </c>
      <c r="D3543">
        <v>2290</v>
      </c>
    </row>
    <row r="3544" spans="1:4" x14ac:dyDescent="0.25">
      <c r="A3544" t="str">
        <f>T("   940540")</f>
        <v xml:space="preserve">   940540</v>
      </c>
      <c r="B3544" t="str">
        <f>T("   Appareils d'éclairage électrique, n.d.a.")</f>
        <v xml:space="preserve">   Appareils d'éclairage électrique, n.d.a.</v>
      </c>
      <c r="C3544">
        <v>304570</v>
      </c>
      <c r="D3544">
        <v>121.87</v>
      </c>
    </row>
    <row r="3545" spans="1:4" x14ac:dyDescent="0.25">
      <c r="A3545" t="str">
        <f>T("   960390")</f>
        <v xml:space="preserve">   960390</v>
      </c>
      <c r="B3545" t="str">
        <f>T("   ARTICLES DE BROSSERIE (SAUF DU N° 9603.10 À 9603.50), P.EX. TÊTES PRÉPARÉES POUR ARTICLES DE BROSSERIE ET RACLETTES EN CAOUTCHOUC OU EN MATIÈRES SOUPLES ANALOGUES")</f>
        <v xml:space="preserve">   ARTICLES DE BROSSERIE (SAUF DU N° 9603.10 À 9603.50), P.EX. TÊTES PRÉPARÉES POUR ARTICLES DE BROSSERIE ET RACLETTES EN CAOUTCHOUC OU EN MATIÈRES SOUPLES ANALOGUES</v>
      </c>
      <c r="C3545">
        <v>58423</v>
      </c>
      <c r="D3545">
        <v>11</v>
      </c>
    </row>
    <row r="3546" spans="1:4" x14ac:dyDescent="0.25">
      <c r="A3546" t="str">
        <f>T("   960810")</f>
        <v xml:space="preserve">   960810</v>
      </c>
      <c r="B3546" t="str">
        <f>T("   Stylos et crayons à bille")</f>
        <v xml:space="preserve">   Stylos et crayons à bille</v>
      </c>
      <c r="C3546">
        <v>2663662</v>
      </c>
      <c r="D3546">
        <v>229</v>
      </c>
    </row>
    <row r="3547" spans="1:4" x14ac:dyDescent="0.25">
      <c r="A3547" t="str">
        <f>T("   960910")</f>
        <v xml:space="preserve">   960910</v>
      </c>
      <c r="B3547" t="str">
        <f>T("   Crayons à gaine")</f>
        <v xml:space="preserve">   Crayons à gaine</v>
      </c>
      <c r="C3547">
        <v>20690184</v>
      </c>
      <c r="D3547">
        <v>9752</v>
      </c>
    </row>
    <row r="3548" spans="1:4" x14ac:dyDescent="0.25">
      <c r="A3548" t="str">
        <f>T("DM")</f>
        <v>DM</v>
      </c>
      <c r="B3548" t="str">
        <f>T("Dominique")</f>
        <v>Dominique</v>
      </c>
    </row>
    <row r="3549" spans="1:4" x14ac:dyDescent="0.25">
      <c r="A3549" t="str">
        <f>T("   ZZ_Total_Produit_SH6")</f>
        <v xml:space="preserve">   ZZ_Total_Produit_SH6</v>
      </c>
      <c r="B3549" t="str">
        <f>T("   ZZ_Total_Produit_SH6")</f>
        <v xml:space="preserve">   ZZ_Total_Produit_SH6</v>
      </c>
      <c r="C3549">
        <v>33655875</v>
      </c>
      <c r="D3549">
        <v>18478</v>
      </c>
    </row>
    <row r="3550" spans="1:4" x14ac:dyDescent="0.25">
      <c r="A3550" t="str">
        <f>T("   210390")</f>
        <v xml:space="preserve">   210390</v>
      </c>
      <c r="B3550"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3550">
        <v>26855220</v>
      </c>
      <c r="D3550">
        <v>18288</v>
      </c>
    </row>
    <row r="3551" spans="1:4" x14ac:dyDescent="0.25">
      <c r="A3551" t="str">
        <f>T("   847190")</f>
        <v xml:space="preserve">   847190</v>
      </c>
      <c r="B3551"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3551">
        <v>6800655</v>
      </c>
      <c r="D3551">
        <v>190</v>
      </c>
    </row>
    <row r="3552" spans="1:4" x14ac:dyDescent="0.25">
      <c r="A3552" t="str">
        <f>T("DO")</f>
        <v>DO</v>
      </c>
      <c r="B3552" t="str">
        <f>T("Dominicaine, République")</f>
        <v>Dominicaine, République</v>
      </c>
    </row>
    <row r="3553" spans="1:4" x14ac:dyDescent="0.25">
      <c r="A3553" t="str">
        <f>T("   ZZ_Total_Produit_SH6")</f>
        <v xml:space="preserve">   ZZ_Total_Produit_SH6</v>
      </c>
      <c r="B3553" t="str">
        <f>T("   ZZ_Total_Produit_SH6")</f>
        <v xml:space="preserve">   ZZ_Total_Produit_SH6</v>
      </c>
      <c r="C3553">
        <v>4128571</v>
      </c>
      <c r="D3553">
        <v>120</v>
      </c>
    </row>
    <row r="3554" spans="1:4" x14ac:dyDescent="0.25">
      <c r="A3554" t="str">
        <f>T("   300490")</f>
        <v xml:space="preserve">   300490</v>
      </c>
      <c r="B3554" t="s">
        <v>80</v>
      </c>
      <c r="C3554">
        <v>4128571</v>
      </c>
      <c r="D3554">
        <v>120</v>
      </c>
    </row>
    <row r="3555" spans="1:4" x14ac:dyDescent="0.25">
      <c r="A3555" t="str">
        <f>T("DZ")</f>
        <v>DZ</v>
      </c>
      <c r="B3555" t="str">
        <f>T("Algérie")</f>
        <v>Algérie</v>
      </c>
    </row>
    <row r="3556" spans="1:4" x14ac:dyDescent="0.25">
      <c r="A3556" t="str">
        <f>T("   ZZ_Total_Produit_SH6")</f>
        <v xml:space="preserve">   ZZ_Total_Produit_SH6</v>
      </c>
      <c r="B3556" t="str">
        <f>T("   ZZ_Total_Produit_SH6")</f>
        <v xml:space="preserve">   ZZ_Total_Produit_SH6</v>
      </c>
      <c r="C3556">
        <v>6959736</v>
      </c>
      <c r="D3556">
        <v>3572</v>
      </c>
    </row>
    <row r="3557" spans="1:4" x14ac:dyDescent="0.25">
      <c r="A3557" t="str">
        <f>T("   392329")</f>
        <v xml:space="preserve">   392329</v>
      </c>
      <c r="B3557" t="str">
        <f>T("   Sacs, sachets, pochettes et cornets, en matières plastiques (autres que les polymères de l'éthylène)")</f>
        <v xml:space="preserve">   Sacs, sachets, pochettes et cornets, en matières plastiques (autres que les polymères de l'éthylène)</v>
      </c>
      <c r="C3557">
        <v>16399</v>
      </c>
      <c r="D3557">
        <v>9</v>
      </c>
    </row>
    <row r="3558" spans="1:4" x14ac:dyDescent="0.25">
      <c r="A3558" t="str">
        <f>T("   650590")</f>
        <v xml:space="preserve">   650590</v>
      </c>
      <c r="B3558" t="s">
        <v>290</v>
      </c>
      <c r="C3558">
        <v>13119</v>
      </c>
      <c r="D3558">
        <v>6</v>
      </c>
    </row>
    <row r="3559" spans="1:4" x14ac:dyDescent="0.25">
      <c r="A3559" t="str">
        <f>T("   853650")</f>
        <v xml:space="preserve">   853650</v>
      </c>
      <c r="B3559" t="str">
        <f>T("   Interrupteurs, sectionneurs et commutateurs, pour une tension &lt;= 1.000 V (autres que relais et disjoncteurs)")</f>
        <v xml:space="preserve">   Interrupteurs, sectionneurs et commutateurs, pour une tension &lt;= 1.000 V (autres que relais et disjoncteurs)</v>
      </c>
      <c r="C3559">
        <v>4515629</v>
      </c>
      <c r="D3559">
        <v>2318</v>
      </c>
    </row>
    <row r="3560" spans="1:4" x14ac:dyDescent="0.25">
      <c r="A3560" t="str">
        <f>T("   853669")</f>
        <v xml:space="preserve">   853669</v>
      </c>
      <c r="B3560" t="str">
        <f>T("   Fiches et prises de courant, pour une tension &lt;= 1.000 V (sauf douilles pour lampes)")</f>
        <v xml:space="preserve">   Fiches et prises de courant, pour une tension &lt;= 1.000 V (sauf douilles pour lampes)</v>
      </c>
      <c r="C3560">
        <v>2278149</v>
      </c>
      <c r="D3560">
        <v>1169</v>
      </c>
    </row>
    <row r="3561" spans="1:4" x14ac:dyDescent="0.25">
      <c r="A3561" t="str">
        <f>T("   853710")</f>
        <v xml:space="preserve">   853710</v>
      </c>
      <c r="B3561"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3561">
        <v>99050</v>
      </c>
      <c r="D3561">
        <v>51</v>
      </c>
    </row>
    <row r="3562" spans="1:4" x14ac:dyDescent="0.25">
      <c r="A3562" t="str">
        <f>T("   854449")</f>
        <v xml:space="preserve">   854449</v>
      </c>
      <c r="B3562" t="str">
        <f>T("   CONDUCTEURS ÉLECTRIQUES, POUR TENSION &lt;= 1.000 V, ISOLÉS, SANS PIÈCES DE CONNEXION, N.D.A.")</f>
        <v xml:space="preserve">   CONDUCTEURS ÉLECTRIQUES, POUR TENSION &lt;= 1.000 V, ISOLÉS, SANS PIÈCES DE CONNEXION, N.D.A.</v>
      </c>
      <c r="C3562">
        <v>37390</v>
      </c>
      <c r="D3562">
        <v>19</v>
      </c>
    </row>
    <row r="3563" spans="1:4" x14ac:dyDescent="0.25">
      <c r="A3563" t="str">
        <f>T("EC")</f>
        <v>EC</v>
      </c>
      <c r="B3563" t="str">
        <f>T("Equateur")</f>
        <v>Equateur</v>
      </c>
    </row>
    <row r="3564" spans="1:4" x14ac:dyDescent="0.25">
      <c r="A3564" t="str">
        <f>T("   ZZ_Total_Produit_SH6")</f>
        <v xml:space="preserve">   ZZ_Total_Produit_SH6</v>
      </c>
      <c r="B3564" t="str">
        <f>T("   ZZ_Total_Produit_SH6")</f>
        <v xml:space="preserve">   ZZ_Total_Produit_SH6</v>
      </c>
      <c r="C3564">
        <v>196000</v>
      </c>
      <c r="D3564">
        <v>170</v>
      </c>
    </row>
    <row r="3565" spans="1:4" x14ac:dyDescent="0.25">
      <c r="A3565" t="str">
        <f>T("   330499")</f>
        <v xml:space="preserve">   330499</v>
      </c>
      <c r="B3565" t="s">
        <v>101</v>
      </c>
      <c r="C3565">
        <v>196000</v>
      </c>
      <c r="D3565">
        <v>170</v>
      </c>
    </row>
    <row r="3566" spans="1:4" x14ac:dyDescent="0.25">
      <c r="A3566" t="str">
        <f>T("EE")</f>
        <v>EE</v>
      </c>
      <c r="B3566" t="str">
        <f>T("Estonie")</f>
        <v>Estonie</v>
      </c>
    </row>
    <row r="3567" spans="1:4" x14ac:dyDescent="0.25">
      <c r="A3567" t="str">
        <f>T("   ZZ_Total_Produit_SH6")</f>
        <v xml:space="preserve">   ZZ_Total_Produit_SH6</v>
      </c>
      <c r="B3567" t="str">
        <f>T("   ZZ_Total_Produit_SH6")</f>
        <v xml:space="preserve">   ZZ_Total_Produit_SH6</v>
      </c>
      <c r="C3567">
        <v>40227385</v>
      </c>
      <c r="D3567">
        <v>88000</v>
      </c>
    </row>
    <row r="3568" spans="1:4" x14ac:dyDescent="0.25">
      <c r="A3568" t="str">
        <f>T("   630900")</f>
        <v xml:space="preserve">   630900</v>
      </c>
      <c r="B3568" t="s">
        <v>278</v>
      </c>
      <c r="C3568">
        <v>40227385</v>
      </c>
      <c r="D3568">
        <v>88000</v>
      </c>
    </row>
    <row r="3569" spans="1:4" x14ac:dyDescent="0.25">
      <c r="A3569" t="str">
        <f>T("EG")</f>
        <v>EG</v>
      </c>
      <c r="B3569" t="str">
        <f>T("Egypte")</f>
        <v>Egypte</v>
      </c>
    </row>
    <row r="3570" spans="1:4" x14ac:dyDescent="0.25">
      <c r="A3570" t="str">
        <f>T("   ZZ_Total_Produit_SH6")</f>
        <v xml:space="preserve">   ZZ_Total_Produit_SH6</v>
      </c>
      <c r="B3570" t="str">
        <f>T("   ZZ_Total_Produit_SH6")</f>
        <v xml:space="preserve">   ZZ_Total_Produit_SH6</v>
      </c>
      <c r="C3570">
        <v>1470250759.8180001</v>
      </c>
      <c r="D3570">
        <v>3150013.9</v>
      </c>
    </row>
    <row r="3571" spans="1:4" x14ac:dyDescent="0.25">
      <c r="A3571" t="str">
        <f>T("   080610")</f>
        <v xml:space="preserve">   080610</v>
      </c>
      <c r="B3571" t="str">
        <f>T("   Raisins, frais")</f>
        <v xml:space="preserve">   Raisins, frais</v>
      </c>
      <c r="C3571">
        <v>38504852</v>
      </c>
      <c r="D3571">
        <v>90735</v>
      </c>
    </row>
    <row r="3572" spans="1:4" x14ac:dyDescent="0.25">
      <c r="A3572" t="str">
        <f>T("   151190")</f>
        <v xml:space="preserve">   151190</v>
      </c>
      <c r="B3572" t="str">
        <f>T("   Huile de palme et ses fractions, même raffinées, mais non chimiquement modifiées (à l'excl. de l'huile de palme brute)")</f>
        <v xml:space="preserve">   Huile de palme et ses fractions, même raffinées, mais non chimiquement modifiées (à l'excl. de l'huile de palme brute)</v>
      </c>
      <c r="C3572">
        <v>10001906.818</v>
      </c>
      <c r="D3572">
        <v>30423</v>
      </c>
    </row>
    <row r="3573" spans="1:4" x14ac:dyDescent="0.25">
      <c r="A3573" t="str">
        <f>T("   151219")</f>
        <v xml:space="preserve">   151219</v>
      </c>
      <c r="B3573" t="str">
        <f>T("   Huiles de tournesol ou de carthame et leurs fractions, même raffinées, mais non chimiquement modifiées (à l'excl. des huiles brutes)")</f>
        <v xml:space="preserve">   Huiles de tournesol ou de carthame et leurs fractions, même raffinées, mais non chimiquement modifiées (à l'excl. des huiles brutes)</v>
      </c>
      <c r="C3573">
        <v>8800359</v>
      </c>
      <c r="D3573">
        <v>24176</v>
      </c>
    </row>
    <row r="3574" spans="1:4" x14ac:dyDescent="0.25">
      <c r="A3574" t="str">
        <f>T("   151590")</f>
        <v xml:space="preserve">   151590</v>
      </c>
      <c r="B3574" t="s">
        <v>35</v>
      </c>
      <c r="C3574">
        <v>13200000</v>
      </c>
      <c r="D3574">
        <v>43963.9</v>
      </c>
    </row>
    <row r="3575" spans="1:4" x14ac:dyDescent="0.25">
      <c r="A3575" t="str">
        <f>T("   190590")</f>
        <v xml:space="preserve">   190590</v>
      </c>
      <c r="B3575" t="s">
        <v>51</v>
      </c>
      <c r="C3575">
        <v>521523</v>
      </c>
      <c r="D3575">
        <v>3474</v>
      </c>
    </row>
    <row r="3576" spans="1:4" x14ac:dyDescent="0.25">
      <c r="A3576" t="str">
        <f>T("   200919")</f>
        <v xml:space="preserve">   200919</v>
      </c>
      <c r="B3576" t="str">
        <f>T("   JUS D'ORANGE, NON-FERMENTÉS, SANS ADDITION D'ALCOOL, AVEC OU SANS ADDITION DE SUCRE OU D'AUTRES ÉDULCORANTS (À L'EXCL. DES JUS CONGELÉS ET DES JUS D'UNE VALEUR BRIX &lt;= 20 À 20°C)")</f>
        <v xml:space="preserve">   JUS D'ORANGE, NON-FERMENTÉS, SANS ADDITION D'ALCOOL, AVEC OU SANS ADDITION DE SUCRE OU D'AUTRES ÉDULCORANTS (À L'EXCL. DES JUS CONGELÉS ET DES JUS D'UNE VALEUR BRIX &lt;= 20 À 20°C)</v>
      </c>
      <c r="C3576">
        <v>917590</v>
      </c>
      <c r="D3576">
        <v>4731</v>
      </c>
    </row>
    <row r="3577" spans="1:4" x14ac:dyDescent="0.25">
      <c r="A3577" t="str">
        <f>T("   200949")</f>
        <v xml:space="preserve">   200949</v>
      </c>
      <c r="B3577" t="str">
        <f>T("   JUS D'ANANAS, NON-FERMENTÉS, SANS ADDITION D'ALCOOL, AVEC OU SANS ADDITION DE SUCRE OU D'AUTRES ÉDULCORANTS, D'UNE VALEUR BRIX &gt; 20 À 20°C")</f>
        <v xml:space="preserve">   JUS D'ANANAS, NON-FERMENTÉS, SANS ADDITION D'ALCOOL, AVEC OU SANS ADDITION DE SUCRE OU D'AUTRES ÉDULCORANTS, D'UNE VALEUR BRIX &gt; 20 À 20°C</v>
      </c>
      <c r="C3577">
        <v>280934</v>
      </c>
      <c r="D3577">
        <v>2360</v>
      </c>
    </row>
    <row r="3578" spans="1:4" x14ac:dyDescent="0.25">
      <c r="A3578" t="str">
        <f>T("   200969")</f>
        <v xml:space="preserve">   200969</v>
      </c>
      <c r="B3578" t="str">
        <f>T("   JUS DE RAISIN - Y.C. LES MOÛTS DE RAISIN -, NON-FERMENTÉS, SANS ADDITION D'ALCOOL, AVEC OU SANS ADDITION DE SUCRE OU D'AUTRES ÉDULCORANTS, D'UNE VALEUR BRIX &gt; 30 À 20°C")</f>
        <v xml:space="preserve">   JUS DE RAISIN - Y.C. LES MOÛTS DE RAISIN -, NON-FERMENTÉS, SANS ADDITION D'ALCOOL, AVEC OU SANS ADDITION DE SUCRE OU D'AUTRES ÉDULCORANTS, D'UNE VALEUR BRIX &gt; 30 À 20°C</v>
      </c>
      <c r="C3578">
        <v>715197</v>
      </c>
      <c r="D3578">
        <v>2826</v>
      </c>
    </row>
    <row r="3579" spans="1:4" x14ac:dyDescent="0.25">
      <c r="A3579" t="str">
        <f>T("   200979")</f>
        <v xml:space="preserve">   200979</v>
      </c>
      <c r="B3579" t="str">
        <f>T("   JUS DE POMME, NON-FERMENTÉS, SANS ADDITION D'ALCOOL, AVEC OU SANS ADDITION DE SUCRE OU D'AUTRES ÉDULCORANTS, D'UNE VALEUR BRIX &gt; 20 À 20°C")</f>
        <v xml:space="preserve">   JUS DE POMME, NON-FERMENTÉS, SANS ADDITION D'ALCOOL, AVEC OU SANS ADDITION DE SUCRE OU D'AUTRES ÉDULCORANTS, D'UNE VALEUR BRIX &gt; 20 À 20°C</v>
      </c>
      <c r="C3579">
        <v>1609473</v>
      </c>
      <c r="D3579">
        <v>8970</v>
      </c>
    </row>
    <row r="3580" spans="1:4" x14ac:dyDescent="0.25">
      <c r="A3580" t="str">
        <f>T("   200980")</f>
        <v xml:space="preserve">   200980</v>
      </c>
      <c r="B3580"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3580">
        <v>7692359</v>
      </c>
      <c r="D3580">
        <v>42552</v>
      </c>
    </row>
    <row r="3581" spans="1:4" x14ac:dyDescent="0.25">
      <c r="A3581" t="str">
        <f>T("   200990")</f>
        <v xml:space="preserve">   200990</v>
      </c>
      <c r="B3581"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3581">
        <v>17378850</v>
      </c>
      <c r="D3581">
        <v>131480</v>
      </c>
    </row>
    <row r="3582" spans="1:4" x14ac:dyDescent="0.25">
      <c r="A3582" t="str">
        <f>T("   210690")</f>
        <v xml:space="preserve">   210690</v>
      </c>
      <c r="B3582" t="str">
        <f>T("   Préparations alimentaires, n.d.a.")</f>
        <v xml:space="preserve">   Préparations alimentaires, n.d.a.</v>
      </c>
      <c r="C3582">
        <v>788263852</v>
      </c>
      <c r="D3582">
        <v>34841</v>
      </c>
    </row>
    <row r="3583" spans="1:4" x14ac:dyDescent="0.25">
      <c r="A3583" t="str">
        <f>T("   251512")</f>
        <v xml:space="preserve">   251512</v>
      </c>
      <c r="B3583" t="str">
        <f>T("   MARBRES ET TRAVERTINS, SIMPL. DÉBITÉS, PAR SCIAGE OU AUTREMENT, EN BLOCS OU EN PLAQUES DE FORME CARRÉE OU RECTANGULAIRE")</f>
        <v xml:space="preserve">   MARBRES ET TRAVERTINS, SIMPL. DÉBITÉS, PAR SCIAGE OU AUTREMENT, EN BLOCS OU EN PLAQUES DE FORME CARRÉE OU RECTANGULAIRE</v>
      </c>
      <c r="C3583">
        <v>7592543</v>
      </c>
      <c r="D3583">
        <v>38612</v>
      </c>
    </row>
    <row r="3584" spans="1:4" x14ac:dyDescent="0.25">
      <c r="A3584" t="str">
        <f>T("   252020")</f>
        <v xml:space="preserve">   252020</v>
      </c>
      <c r="B3584" t="str">
        <f>T("   Plâtres, même colorés ou additionnés de faibles quantités d'accélérateurs ou de retardateurs")</f>
        <v xml:space="preserve">   Plâtres, même colorés ou additionnés de faibles quantités d'accélérateurs ou de retardateurs</v>
      </c>
      <c r="C3584">
        <v>84665591</v>
      </c>
      <c r="D3584">
        <v>1945224</v>
      </c>
    </row>
    <row r="3585" spans="1:4" x14ac:dyDescent="0.25">
      <c r="A3585" t="str">
        <f>T("   281420")</f>
        <v xml:space="preserve">   281420</v>
      </c>
      <c r="B3585" t="str">
        <f>T("   Ammoniac en solution aqueuse [ammoniaque]")</f>
        <v xml:space="preserve">   Ammoniac en solution aqueuse [ammoniaque]</v>
      </c>
      <c r="C3585">
        <v>98573</v>
      </c>
      <c r="D3585">
        <v>396</v>
      </c>
    </row>
    <row r="3586" spans="1:4" x14ac:dyDescent="0.25">
      <c r="A3586" t="str">
        <f>T("   283650")</f>
        <v xml:space="preserve">   283650</v>
      </c>
      <c r="B3586" t="str">
        <f>T("   Carbonate de calcium")</f>
        <v xml:space="preserve">   Carbonate de calcium</v>
      </c>
      <c r="C3586">
        <v>16034342</v>
      </c>
      <c r="D3586">
        <v>281422</v>
      </c>
    </row>
    <row r="3587" spans="1:4" x14ac:dyDescent="0.25">
      <c r="A3587" t="str">
        <f>T("   321490")</f>
        <v xml:space="preserve">   321490</v>
      </c>
      <c r="B3587" t="str">
        <f>T("   Enduits non réfractaires des types utilisés en maçonnerie")</f>
        <v xml:space="preserve">   Enduits non réfractaires des types utilisés en maçonnerie</v>
      </c>
      <c r="C3587">
        <v>1045237</v>
      </c>
      <c r="D3587">
        <v>12000</v>
      </c>
    </row>
    <row r="3588" spans="1:4" x14ac:dyDescent="0.25">
      <c r="A3588" t="str">
        <f>T("   330210")</f>
        <v xml:space="preserve">   330210</v>
      </c>
      <c r="B3588" t="str">
        <f>T("   Mélanges de substances odoriférantes et mélanges, y.c. les solutions alcooliques, à base d'une ou de plusieurs de ces substances, des types utilisés comme matières de base pour les industries des produits alimentaires et des boissons")</f>
        <v xml:space="preserve">   Mélanges de substances odoriférantes et mélanges, y.c. les solutions alcooliques, à base d'une ou de plusieurs de ces substances, des types utilisés comme matières de base pour les industries des produits alimentaires et des boissons</v>
      </c>
      <c r="C3588">
        <v>60411292</v>
      </c>
      <c r="D3588">
        <v>2010</v>
      </c>
    </row>
    <row r="3589" spans="1:4" x14ac:dyDescent="0.25">
      <c r="A3589" t="str">
        <f>T("   381400")</f>
        <v xml:space="preserve">   381400</v>
      </c>
      <c r="B3589" t="str">
        <f>T("   Solvants et diluants organiques composites, n.d.a.; préparations conçues pour enlever les peintures ou les vernis (à l'excl. des dissolvants pour vernis à ongles)")</f>
        <v xml:space="preserve">   Solvants et diluants organiques composites, n.d.a.; préparations conçues pour enlever les peintures ou les vernis (à l'excl. des dissolvants pour vernis à ongles)</v>
      </c>
      <c r="C3589">
        <v>3429821</v>
      </c>
      <c r="D3589">
        <v>10530</v>
      </c>
    </row>
    <row r="3590" spans="1:4" x14ac:dyDescent="0.25">
      <c r="A3590" t="str">
        <f>T("   382200")</f>
        <v xml:space="preserve">   382200</v>
      </c>
      <c r="B3590" t="s">
        <v>126</v>
      </c>
      <c r="C3590">
        <v>1530978</v>
      </c>
      <c r="D3590">
        <v>211</v>
      </c>
    </row>
    <row r="3591" spans="1:4" x14ac:dyDescent="0.25">
      <c r="A3591" t="str">
        <f>T("   382490")</f>
        <v xml:space="preserve">   382490</v>
      </c>
      <c r="B3591" t="str">
        <f>T("   Produits chimiques et préparations des industries chimiques ou des industries connexes, y.c. celles consistant en mélanges de produits naturels, n.d.a.")</f>
        <v xml:space="preserve">   Produits chimiques et préparations des industries chimiques ou des industries connexes, y.c. celles consistant en mélanges de produits naturels, n.d.a.</v>
      </c>
      <c r="C3591">
        <v>702109</v>
      </c>
      <c r="D3591">
        <v>5700</v>
      </c>
    </row>
    <row r="3592" spans="1:4" x14ac:dyDescent="0.25">
      <c r="A3592" t="str">
        <f>T("   390750")</f>
        <v xml:space="preserve">   390750</v>
      </c>
      <c r="B3592" t="str">
        <f>T("   Résines alkydes, sous formes primaires")</f>
        <v xml:space="preserve">   Résines alkydes, sous formes primaires</v>
      </c>
      <c r="C3592">
        <v>62973984</v>
      </c>
      <c r="D3592">
        <v>77880</v>
      </c>
    </row>
    <row r="3593" spans="1:4" x14ac:dyDescent="0.25">
      <c r="A3593" t="str">
        <f>T("   392220")</f>
        <v xml:space="preserve">   392220</v>
      </c>
      <c r="B3593" t="str">
        <f>T("   Sièges et couvercles de cuvettes d'aisance, en matières plastiques")</f>
        <v xml:space="preserve">   Sièges et couvercles de cuvettes d'aisance, en matières plastiques</v>
      </c>
      <c r="C3593">
        <v>5753781</v>
      </c>
      <c r="D3593">
        <v>8587</v>
      </c>
    </row>
    <row r="3594" spans="1:4" x14ac:dyDescent="0.25">
      <c r="A3594" t="str">
        <f>T("   392350")</f>
        <v xml:space="preserve">   392350</v>
      </c>
      <c r="B3594" t="str">
        <f>T("   Bouchons, couvercles, capsules et autres dispositifs de fermeture, en matières plastiques")</f>
        <v xml:space="preserve">   Bouchons, couvercles, capsules et autres dispositifs de fermeture, en matières plastiques</v>
      </c>
      <c r="C3594">
        <v>602702</v>
      </c>
      <c r="D3594">
        <v>1056</v>
      </c>
    </row>
    <row r="3595" spans="1:4" x14ac:dyDescent="0.25">
      <c r="A3595" t="str">
        <f>T("   392390")</f>
        <v xml:space="preserve">   392390</v>
      </c>
      <c r="B3595" t="s">
        <v>150</v>
      </c>
      <c r="C3595">
        <v>4481922</v>
      </c>
      <c r="D3595">
        <v>4000</v>
      </c>
    </row>
    <row r="3596" spans="1:4" x14ac:dyDescent="0.25">
      <c r="A3596" t="str">
        <f>T("   392490")</f>
        <v xml:space="preserve">   392490</v>
      </c>
      <c r="B3596" t="s">
        <v>151</v>
      </c>
      <c r="C3596">
        <v>1205402</v>
      </c>
      <c r="D3596">
        <v>2112</v>
      </c>
    </row>
    <row r="3597" spans="1:4" x14ac:dyDescent="0.25">
      <c r="A3597" t="str">
        <f>T("   401212")</f>
        <v xml:space="preserve">   401212</v>
      </c>
      <c r="B3597" t="str">
        <f>T("   Pneumatiques rechapés, en caoutchouc, des types utilisés pour les autobus ou camions")</f>
        <v xml:space="preserve">   Pneumatiques rechapés, en caoutchouc, des types utilisés pour les autobus ou camions</v>
      </c>
      <c r="C3597">
        <v>19020000</v>
      </c>
      <c r="D3597">
        <v>35717</v>
      </c>
    </row>
    <row r="3598" spans="1:4" x14ac:dyDescent="0.25">
      <c r="A3598" t="str">
        <f>T("   491110")</f>
        <v xml:space="preserve">   491110</v>
      </c>
      <c r="B3598" t="str">
        <f>T("   Imprimés publicitaires, catalogues commerciaux et simil.")</f>
        <v xml:space="preserve">   Imprimés publicitaires, catalogues commerciaux et simil.</v>
      </c>
      <c r="C3598">
        <v>994</v>
      </c>
      <c r="D3598">
        <v>6</v>
      </c>
    </row>
    <row r="3599" spans="1:4" x14ac:dyDescent="0.25">
      <c r="A3599" t="str">
        <f>T("   570320")</f>
        <v xml:space="preserve">   570320</v>
      </c>
      <c r="B3599" t="str">
        <f>T("   Tapis et autres revêtements de sol, de nylon ou d'autres polyamides, touffetés, même confectionnés")</f>
        <v xml:space="preserve">   Tapis et autres revêtements de sol, de nylon ou d'autres polyamides, touffetés, même confectionnés</v>
      </c>
      <c r="C3599">
        <v>599188</v>
      </c>
      <c r="D3599">
        <v>573</v>
      </c>
    </row>
    <row r="3600" spans="1:4" x14ac:dyDescent="0.25">
      <c r="A3600" t="str">
        <f>T("   570330")</f>
        <v xml:space="preserve">   570330</v>
      </c>
      <c r="B3600" t="str">
        <f>T("   Tapis et autres revêtements de sol, de matières textiles synthétiques ou artificielles, touffetés, même confectionnés (à l'excl. des articles en nylon ou en autres polyamides)")</f>
        <v xml:space="preserve">   Tapis et autres revêtements de sol, de matières textiles synthétiques ou artificielles, touffetés, même confectionnés (à l'excl. des articles en nylon ou en autres polyamides)</v>
      </c>
      <c r="C3600">
        <v>1899186</v>
      </c>
      <c r="D3600">
        <v>5000</v>
      </c>
    </row>
    <row r="3601" spans="1:4" x14ac:dyDescent="0.25">
      <c r="A3601" t="str">
        <f>T("   570500")</f>
        <v xml:space="preserve">   570500</v>
      </c>
      <c r="B3601" t="str">
        <f>T("   Tapis et autres revêtements de sol en matières textiles, même confectionnés (à l'excl. à points noués ou enroulés, tissés, touffetés ou en feutre)")</f>
        <v xml:space="preserve">   Tapis et autres revêtements de sol en matières textiles, même confectionnés (à l'excl. à points noués ou enroulés, tissés, touffetés ou en feutre)</v>
      </c>
      <c r="C3601">
        <v>479348</v>
      </c>
      <c r="D3601">
        <v>5180</v>
      </c>
    </row>
    <row r="3602" spans="1:4" x14ac:dyDescent="0.25">
      <c r="A3602" t="str">
        <f>T("   610590")</f>
        <v xml:space="preserve">   610590</v>
      </c>
      <c r="B3602" t="str">
        <f>T("   Chemises et chemisettes, en bonneterie, de matières textiles, pour hommes ou garçonnets (sauf de coton, fibres synthétiques ou artificielles et sauf chemises de nuit, T-shirts et maillots de corps)")</f>
        <v xml:space="preserve">   Chemises et chemisettes, en bonneterie, de matières textiles, pour hommes ou garçonnets (sauf de coton, fibres synthétiques ou artificielles et sauf chemises de nuit, T-shirts et maillots de corps)</v>
      </c>
      <c r="C3602">
        <v>1651838</v>
      </c>
      <c r="D3602">
        <v>4000</v>
      </c>
    </row>
    <row r="3603" spans="1:4" x14ac:dyDescent="0.25">
      <c r="A3603" t="str">
        <f>T("   611490")</f>
        <v xml:space="preserve">   611490</v>
      </c>
      <c r="B3603" t="str">
        <f>T("   Vêtements spéciaux destinés à des fins professionnelles, sportives ou autres n.d.a., en bonneterie, de matières textiles (sauf de laine, poils fins, coton, fibres synthétiques ou artificielles)")</f>
        <v xml:space="preserve">   Vêtements spéciaux destinés à des fins professionnelles, sportives ou autres n.d.a., en bonneterie, de matières textiles (sauf de laine, poils fins, coton, fibres synthétiques ou artificielles)</v>
      </c>
      <c r="C3603">
        <v>3946968</v>
      </c>
      <c r="D3603">
        <v>4250</v>
      </c>
    </row>
    <row r="3604" spans="1:4" x14ac:dyDescent="0.25">
      <c r="A3604" t="str">
        <f>T("   691090")</f>
        <v xml:space="preserve">   691090</v>
      </c>
      <c r="B3604" t="s">
        <v>313</v>
      </c>
      <c r="C3604">
        <v>49194132</v>
      </c>
      <c r="D3604">
        <v>133483</v>
      </c>
    </row>
    <row r="3605" spans="1:4" x14ac:dyDescent="0.25">
      <c r="A3605" t="str">
        <f>T("   691200")</f>
        <v xml:space="preserve">   691200</v>
      </c>
      <c r="B3605" t="s">
        <v>316</v>
      </c>
      <c r="C3605">
        <v>301588</v>
      </c>
      <c r="D3605">
        <v>3597</v>
      </c>
    </row>
    <row r="3606" spans="1:4" x14ac:dyDescent="0.25">
      <c r="A3606" t="str">
        <f>T("   700992")</f>
        <v xml:space="preserve">   700992</v>
      </c>
      <c r="B3606" t="str">
        <f>T("   Miroirs, en verre encadrés (sauf miroirs rétroviseurs pour véhicules)")</f>
        <v xml:space="preserve">   Miroirs, en verre encadrés (sauf miroirs rétroviseurs pour véhicules)</v>
      </c>
      <c r="C3606">
        <v>272270</v>
      </c>
      <c r="D3606">
        <v>480</v>
      </c>
    </row>
    <row r="3607" spans="1:4" x14ac:dyDescent="0.25">
      <c r="A3607" t="str">
        <f>T("   730890")</f>
        <v xml:space="preserve">   730890</v>
      </c>
      <c r="B3607" t="s">
        <v>355</v>
      </c>
      <c r="C3607">
        <v>2904860</v>
      </c>
      <c r="D3607">
        <v>8000</v>
      </c>
    </row>
    <row r="3608" spans="1:4" x14ac:dyDescent="0.25">
      <c r="A3608" t="str">
        <f>T("   732111")</f>
        <v xml:space="preserve">   732111</v>
      </c>
      <c r="B3608" t="s">
        <v>361</v>
      </c>
      <c r="C3608">
        <v>37574447</v>
      </c>
      <c r="D3608">
        <v>30998.7</v>
      </c>
    </row>
    <row r="3609" spans="1:4" x14ac:dyDescent="0.25">
      <c r="A3609" t="str">
        <f>T("   732181")</f>
        <v xml:space="preserve">   732181</v>
      </c>
      <c r="B3609" t="s">
        <v>363</v>
      </c>
      <c r="C3609">
        <v>2500520</v>
      </c>
      <c r="D3609">
        <v>3375</v>
      </c>
    </row>
    <row r="3610" spans="1:4" x14ac:dyDescent="0.25">
      <c r="A3610" t="str">
        <f>T("   732190")</f>
        <v xml:space="preserve">   732190</v>
      </c>
      <c r="B3610" t="str">
        <f>T("   Parties des appareils ménagers chauffants non-électriques du n° 7321, n.d.a.")</f>
        <v xml:space="preserve">   Parties des appareils ménagers chauffants non-électriques du n° 7321, n.d.a.</v>
      </c>
      <c r="C3610">
        <v>181873</v>
      </c>
      <c r="D3610">
        <v>305.3</v>
      </c>
    </row>
    <row r="3611" spans="1:4" x14ac:dyDescent="0.25">
      <c r="A3611" t="str">
        <f>T("   732393")</f>
        <v xml:space="preserve">   732393</v>
      </c>
      <c r="B3611" t="s">
        <v>366</v>
      </c>
      <c r="C3611">
        <v>1984508</v>
      </c>
      <c r="D3611">
        <v>9810</v>
      </c>
    </row>
    <row r="3612" spans="1:4" x14ac:dyDescent="0.25">
      <c r="A3612" t="str">
        <f>T("   732399")</f>
        <v xml:space="preserve">   732399</v>
      </c>
      <c r="B3612" t="s">
        <v>368</v>
      </c>
      <c r="C3612">
        <v>28761</v>
      </c>
      <c r="D3612">
        <v>160</v>
      </c>
    </row>
    <row r="3613" spans="1:4" x14ac:dyDescent="0.25">
      <c r="A3613" t="str">
        <f>T("   820190")</f>
        <v xml:space="preserve">   820190</v>
      </c>
      <c r="B3613" t="s">
        <v>375</v>
      </c>
      <c r="C3613">
        <v>1574184</v>
      </c>
      <c r="D3613">
        <v>4000</v>
      </c>
    </row>
    <row r="3614" spans="1:4" x14ac:dyDescent="0.25">
      <c r="A3614" t="str">
        <f>T("   841510")</f>
        <v xml:space="preserve">   841510</v>
      </c>
      <c r="B3614" t="s">
        <v>399</v>
      </c>
      <c r="C3614">
        <v>23931723</v>
      </c>
      <c r="D3614">
        <v>12099</v>
      </c>
    </row>
    <row r="3615" spans="1:4" x14ac:dyDescent="0.25">
      <c r="A3615" t="str">
        <f>T("   850940")</f>
        <v xml:space="preserve">   850940</v>
      </c>
      <c r="B3615" t="str">
        <f>T("   Broyeurs et mélangeurs pour aliments; presse-fruits et presse-légumes à moteur électrique incorporé, à usage domestique")</f>
        <v xml:space="preserve">   Broyeurs et mélangeurs pour aliments; presse-fruits et presse-légumes à moteur électrique incorporé, à usage domestique</v>
      </c>
      <c r="C3615">
        <v>308701</v>
      </c>
      <c r="D3615">
        <v>293</v>
      </c>
    </row>
    <row r="3616" spans="1:4" x14ac:dyDescent="0.25">
      <c r="A3616" t="str">
        <f>T("   851660")</f>
        <v xml:space="preserve">   851660</v>
      </c>
      <c r="B3616" t="str">
        <f>T("   Fours, cuisinières, réchauds, tables de cuisson, grils et rôtissoires électriques, pour usages domestiques (sauf fours destinés au chauffage des locaux et fours à micro-ondes)")</f>
        <v xml:space="preserve">   Fours, cuisinières, réchauds, tables de cuisson, grils et rôtissoires électriques, pour usages domestiques (sauf fours destinés au chauffage des locaux et fours à micro-ondes)</v>
      </c>
      <c r="C3616">
        <v>8332585</v>
      </c>
      <c r="D3616">
        <v>8445</v>
      </c>
    </row>
    <row r="3617" spans="1:4" x14ac:dyDescent="0.25">
      <c r="A3617" t="str">
        <f>T("   851690")</f>
        <v xml:space="preserve">   851690</v>
      </c>
      <c r="B3617" t="str">
        <f>T("   Parties des chauffe-eau, appareils de chauffage des locaux, appareils électriques pour la coiffure ou pour sécher les mains, appareils électrothermiques pour usages domestiques et résistances chauffantes, n.d.a.")</f>
        <v xml:space="preserve">   Parties des chauffe-eau, appareils de chauffage des locaux, appareils électriques pour la coiffure ou pour sécher les mains, appareils électrothermiques pour usages domestiques et résistances chauffantes, n.d.a.</v>
      </c>
      <c r="C3617">
        <v>8628</v>
      </c>
      <c r="D3617">
        <v>23</v>
      </c>
    </row>
    <row r="3618" spans="1:4" x14ac:dyDescent="0.25">
      <c r="A3618" t="str">
        <f>T("   870210")</f>
        <v xml:space="preserve">   870210</v>
      </c>
      <c r="B3618" t="s">
        <v>477</v>
      </c>
      <c r="C3618">
        <v>117620012</v>
      </c>
      <c r="D3618">
        <v>24000</v>
      </c>
    </row>
    <row r="3619" spans="1:4" x14ac:dyDescent="0.25">
      <c r="A3619" t="str">
        <f>T("   870322")</f>
        <v xml:space="preserve">   870322</v>
      </c>
      <c r="B3619" t="s">
        <v>480</v>
      </c>
      <c r="C3619">
        <v>1200000</v>
      </c>
      <c r="D3619">
        <v>1000</v>
      </c>
    </row>
    <row r="3620" spans="1:4" x14ac:dyDescent="0.25">
      <c r="A3620" t="str">
        <f>T("   903289")</f>
        <v xml:space="preserve">   903289</v>
      </c>
      <c r="B3620" t="s">
        <v>508</v>
      </c>
      <c r="C3620">
        <v>28939386</v>
      </c>
      <c r="D3620">
        <v>3400</v>
      </c>
    </row>
    <row r="3621" spans="1:4" x14ac:dyDescent="0.25">
      <c r="A3621" t="str">
        <f>T("   940320")</f>
        <v xml:space="preserve">   940320</v>
      </c>
      <c r="B3621"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3621">
        <v>2925952</v>
      </c>
      <c r="D3621">
        <v>2000</v>
      </c>
    </row>
    <row r="3622" spans="1:4" x14ac:dyDescent="0.25">
      <c r="A3622" t="str">
        <f>T("   940350")</f>
        <v xml:space="preserve">   940350</v>
      </c>
      <c r="B3622" t="str">
        <f>T("   Meubles pour chambres à coucher, en bois (sauf sièges)")</f>
        <v xml:space="preserve">   Meubles pour chambres à coucher, en bois (sauf sièges)</v>
      </c>
      <c r="C3622">
        <v>1521936</v>
      </c>
      <c r="D3622">
        <v>875</v>
      </c>
    </row>
    <row r="3623" spans="1:4" x14ac:dyDescent="0.25">
      <c r="A3623" t="str">
        <f>T("   940360")</f>
        <v xml:space="preserve">   940360</v>
      </c>
      <c r="B3623" t="str">
        <f>T("   Meubles en bois (autres que pour bureaux, cuisines ou chambres à coucher et autres que sièges)")</f>
        <v xml:space="preserve">   Meubles en bois (autres que pour bureaux, cuisines ou chambres à coucher et autres que sièges)</v>
      </c>
      <c r="C3623">
        <v>21768139</v>
      </c>
      <c r="D3623">
        <v>27912</v>
      </c>
    </row>
    <row r="3624" spans="1:4" x14ac:dyDescent="0.25">
      <c r="A3624" t="str">
        <f>T("   940380")</f>
        <v xml:space="preserve">   940380</v>
      </c>
      <c r="B3624" t="str">
        <f>T("   Meubles en rotin, osier, bambou ou autres matières (sauf métal, bois et matières plastiques)")</f>
        <v xml:space="preserve">   Meubles en rotin, osier, bambou ou autres matières (sauf métal, bois et matières plastiques)</v>
      </c>
      <c r="C3624">
        <v>1163860</v>
      </c>
      <c r="D3624">
        <v>10760</v>
      </c>
    </row>
    <row r="3625" spans="1:4" x14ac:dyDescent="0.25">
      <c r="A3625" t="str">
        <f>T("ER")</f>
        <v>ER</v>
      </c>
      <c r="B3625" t="str">
        <f>T("Erythrée")</f>
        <v>Erythrée</v>
      </c>
    </row>
    <row r="3626" spans="1:4" x14ac:dyDescent="0.25">
      <c r="A3626" t="str">
        <f>T("   ZZ_Total_Produit_SH6")</f>
        <v xml:space="preserve">   ZZ_Total_Produit_SH6</v>
      </c>
      <c r="B3626" t="str">
        <f>T("   ZZ_Total_Produit_SH6")</f>
        <v xml:space="preserve">   ZZ_Total_Produit_SH6</v>
      </c>
      <c r="C3626">
        <v>2070715</v>
      </c>
      <c r="D3626">
        <v>74.5</v>
      </c>
    </row>
    <row r="3627" spans="1:4" x14ac:dyDescent="0.25">
      <c r="A3627" t="str">
        <f>T("   847190")</f>
        <v xml:space="preserve">   847190</v>
      </c>
      <c r="B3627"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3627">
        <v>2070715</v>
      </c>
      <c r="D3627">
        <v>74.5</v>
      </c>
    </row>
    <row r="3628" spans="1:4" x14ac:dyDescent="0.25">
      <c r="A3628" t="str">
        <f>T("ES")</f>
        <v>ES</v>
      </c>
      <c r="B3628" t="str">
        <f>T("Espagne")</f>
        <v>Espagne</v>
      </c>
    </row>
    <row r="3629" spans="1:4" x14ac:dyDescent="0.25">
      <c r="A3629" t="str">
        <f>T("   ZZ_Total_Produit_SH6")</f>
        <v xml:space="preserve">   ZZ_Total_Produit_SH6</v>
      </c>
      <c r="B3629" t="str">
        <f>T("   ZZ_Total_Produit_SH6")</f>
        <v xml:space="preserve">   ZZ_Total_Produit_SH6</v>
      </c>
      <c r="C3629">
        <v>27382296525.091999</v>
      </c>
      <c r="D3629">
        <v>110600714</v>
      </c>
    </row>
    <row r="3630" spans="1:4" x14ac:dyDescent="0.25">
      <c r="A3630" t="str">
        <f>T("   020312")</f>
        <v xml:space="preserve">   020312</v>
      </c>
      <c r="B3630" t="str">
        <f>T("   JAMBONS, ÉPAULES ET LEURS MORCEAUX, NON-DÉSOSSÉS, DE PORCINS, FRAIS OU RÉFRIGÉRÉS")</f>
        <v xml:space="preserve">   JAMBONS, ÉPAULES ET LEURS MORCEAUX, NON-DÉSOSSÉS, DE PORCINS, FRAIS OU RÉFRIGÉRÉS</v>
      </c>
      <c r="C3630">
        <v>4558922</v>
      </c>
      <c r="D3630">
        <v>7495</v>
      </c>
    </row>
    <row r="3631" spans="1:4" x14ac:dyDescent="0.25">
      <c r="A3631" t="str">
        <f>T("   020322")</f>
        <v xml:space="preserve">   020322</v>
      </c>
      <c r="B3631" t="str">
        <f>T("   JAMBONS, ÉPAULES ET LEURS MORCEAUX, NON-DÉSOSSÉS, DE PORCINS, CONGELÉS")</f>
        <v xml:space="preserve">   JAMBONS, ÉPAULES ET LEURS MORCEAUX, NON-DÉSOSSÉS, DE PORCINS, CONGELÉS</v>
      </c>
      <c r="C3631">
        <v>7359216</v>
      </c>
      <c r="D3631">
        <v>12159</v>
      </c>
    </row>
    <row r="3632" spans="1:4" x14ac:dyDescent="0.25">
      <c r="A3632" t="str">
        <f>T("   020630")</f>
        <v xml:space="preserve">   020630</v>
      </c>
      <c r="B3632" t="str">
        <f>T("   Abats comestibles de porcins, frais ou réfrigérés")</f>
        <v xml:space="preserve">   Abats comestibles de porcins, frais ou réfrigérés</v>
      </c>
      <c r="C3632">
        <v>5316556</v>
      </c>
      <c r="D3632">
        <v>8835</v>
      </c>
    </row>
    <row r="3633" spans="1:4" x14ac:dyDescent="0.25">
      <c r="A3633" t="str">
        <f>T("   020712")</f>
        <v xml:space="preserve">   020712</v>
      </c>
      <c r="B3633" t="str">
        <f>T("   COQS ET POULES [DES ESPÈCES DOMESTIQUES], NON-DÉCOUPÉS EN MORCEAUX, CONGELÉS")</f>
        <v xml:space="preserve">   COQS ET POULES [DES ESPÈCES DOMESTIQUES], NON-DÉCOUPÉS EN MORCEAUX, CONGELÉS</v>
      </c>
      <c r="C3633">
        <v>5763428212</v>
      </c>
      <c r="D3633">
        <v>9653769</v>
      </c>
    </row>
    <row r="3634" spans="1:4" x14ac:dyDescent="0.25">
      <c r="A3634" t="str">
        <f>T("   020714")</f>
        <v xml:space="preserve">   020714</v>
      </c>
      <c r="B3634" t="str">
        <f>T("   Morceaux et abats comestibles de coqs et de poules [des espèces domestiques], congelés")</f>
        <v xml:space="preserve">   Morceaux et abats comestibles de coqs et de poules [des espèces domestiques], congelés</v>
      </c>
      <c r="C3634">
        <v>2914866646</v>
      </c>
      <c r="D3634">
        <v>4894867</v>
      </c>
    </row>
    <row r="3635" spans="1:4" x14ac:dyDescent="0.25">
      <c r="A3635" t="str">
        <f>T("   020726")</f>
        <v xml:space="preserve">   020726</v>
      </c>
      <c r="B3635" t="str">
        <f>T("   Morceaux et abats comestibles de dindes et dindons [des espèces domestiques], frais ou réfrigérés")</f>
        <v xml:space="preserve">   Morceaux et abats comestibles de dindes et dindons [des espèces domestiques], frais ou réfrigérés</v>
      </c>
      <c r="C3635">
        <v>1270594</v>
      </c>
      <c r="D3635">
        <v>2106</v>
      </c>
    </row>
    <row r="3636" spans="1:4" x14ac:dyDescent="0.25">
      <c r="A3636" t="str">
        <f>T("   020727")</f>
        <v xml:space="preserve">   020727</v>
      </c>
      <c r="B3636" t="str">
        <f>T("   Morceaux et abats comestibles de dindes et dindons [des espèces domestiques], congelés")</f>
        <v xml:space="preserve">   Morceaux et abats comestibles de dindes et dindons [des espèces domestiques], congelés</v>
      </c>
      <c r="C3636">
        <v>2630459840</v>
      </c>
      <c r="D3636">
        <v>4392025</v>
      </c>
    </row>
    <row r="3637" spans="1:4" x14ac:dyDescent="0.25">
      <c r="A3637" t="str">
        <f>T("   030264")</f>
        <v xml:space="preserve">   030264</v>
      </c>
      <c r="B3637" t="str">
        <f>T("   Maquereaux [Scomber scombrus, Scomber australasicus, Scomber japonicus], frais ou réfrigérés")</f>
        <v xml:space="preserve">   Maquereaux [Scomber scombrus, Scomber australasicus, Scomber japonicus], frais ou réfrigérés</v>
      </c>
      <c r="C3637">
        <v>4375003</v>
      </c>
      <c r="D3637">
        <v>25000</v>
      </c>
    </row>
    <row r="3638" spans="1:4" x14ac:dyDescent="0.25">
      <c r="A3638" t="str">
        <f>T("   030269")</f>
        <v xml:space="preserve">   030269</v>
      </c>
      <c r="B3638" t="s">
        <v>16</v>
      </c>
      <c r="C3638">
        <v>8511045</v>
      </c>
      <c r="D3638">
        <v>48085</v>
      </c>
    </row>
    <row r="3639" spans="1:4" x14ac:dyDescent="0.25">
      <c r="A3639" t="str">
        <f>T("   030374")</f>
        <v xml:space="preserve">   030374</v>
      </c>
      <c r="B3639" t="str">
        <f>T("   Maquereaux [Scomber scombrus, Scomber australasicus, Scomber japonicus], congelés")</f>
        <v xml:space="preserve">   Maquereaux [Scomber scombrus, Scomber australasicus, Scomber japonicus], congelés</v>
      </c>
      <c r="C3639">
        <v>8750506</v>
      </c>
      <c r="D3639">
        <v>52750</v>
      </c>
    </row>
    <row r="3640" spans="1:4" x14ac:dyDescent="0.25">
      <c r="A3640" t="str">
        <f>T("   030379")</f>
        <v xml:space="preserve">   030379</v>
      </c>
      <c r="B3640" t="s">
        <v>17</v>
      </c>
      <c r="C3640">
        <v>22421422</v>
      </c>
      <c r="D3640">
        <v>129700</v>
      </c>
    </row>
    <row r="3641" spans="1:4" x14ac:dyDescent="0.25">
      <c r="A3641" t="str">
        <f>T("   040690")</f>
        <v xml:space="preserve">   040690</v>
      </c>
      <c r="B3641" t="s">
        <v>18</v>
      </c>
      <c r="C3641">
        <v>6949241</v>
      </c>
      <c r="D3641">
        <v>5788</v>
      </c>
    </row>
    <row r="3642" spans="1:4" x14ac:dyDescent="0.25">
      <c r="A3642" t="str">
        <f>T("   040900")</f>
        <v xml:space="preserve">   040900</v>
      </c>
      <c r="B3642" t="str">
        <f>T("   Miel naturel")</f>
        <v xml:space="preserve">   Miel naturel</v>
      </c>
      <c r="C3642">
        <v>317360</v>
      </c>
      <c r="D3642">
        <v>747</v>
      </c>
    </row>
    <row r="3643" spans="1:4" x14ac:dyDescent="0.25">
      <c r="A3643" t="str">
        <f>T("   071010")</f>
        <v xml:space="preserve">   071010</v>
      </c>
      <c r="B3643" t="str">
        <f>T("   Pommes de terre, non cuites ou cuites à l'eau ou à la vapeur, congelées")</f>
        <v xml:space="preserve">   Pommes de terre, non cuites ou cuites à l'eau ou à la vapeur, congelées</v>
      </c>
      <c r="C3643">
        <v>5075163</v>
      </c>
      <c r="D3643">
        <v>29000</v>
      </c>
    </row>
    <row r="3644" spans="1:4" x14ac:dyDescent="0.25">
      <c r="A3644" t="str">
        <f>T("   080610")</f>
        <v xml:space="preserve">   080610</v>
      </c>
      <c r="B3644" t="str">
        <f>T("   Raisins, frais")</f>
        <v xml:space="preserve">   Raisins, frais</v>
      </c>
      <c r="C3644">
        <v>12608208</v>
      </c>
      <c r="D3644">
        <v>27750</v>
      </c>
    </row>
    <row r="3645" spans="1:4" x14ac:dyDescent="0.25">
      <c r="A3645" t="str">
        <f>T("   080940")</f>
        <v xml:space="preserve">   080940</v>
      </c>
      <c r="B3645" t="str">
        <f>T("   Prunes et prunelles, fraîches")</f>
        <v xml:space="preserve">   Prunes et prunelles, fraîches</v>
      </c>
      <c r="C3645">
        <v>1393915</v>
      </c>
      <c r="D3645">
        <v>4250</v>
      </c>
    </row>
    <row r="3646" spans="1:4" x14ac:dyDescent="0.25">
      <c r="A3646" t="str">
        <f>T("   081090")</f>
        <v xml:space="preserve">   081090</v>
      </c>
      <c r="B3646" t="s">
        <v>23</v>
      </c>
      <c r="C3646">
        <v>7000405</v>
      </c>
      <c r="D3646">
        <v>20811</v>
      </c>
    </row>
    <row r="3647" spans="1:4" x14ac:dyDescent="0.25">
      <c r="A3647" t="str">
        <f>T("   090121")</f>
        <v xml:space="preserve">   090121</v>
      </c>
      <c r="B3647" t="str">
        <f>T("   Café, torréfié, non décaféiné")</f>
        <v xml:space="preserve">   Café, torréfié, non décaféiné</v>
      </c>
      <c r="C3647">
        <v>1443112</v>
      </c>
      <c r="D3647">
        <v>2149</v>
      </c>
    </row>
    <row r="3648" spans="1:4" x14ac:dyDescent="0.25">
      <c r="A3648" t="str">
        <f>T("   100630")</f>
        <v xml:space="preserve">   100630</v>
      </c>
      <c r="B3648" t="str">
        <f>T("   Riz semi-blanchi ou blanchi, même poli ou glacé")</f>
        <v xml:space="preserve">   Riz semi-blanchi ou blanchi, même poli ou glacé</v>
      </c>
      <c r="C3648">
        <v>3085341582.6350002</v>
      </c>
      <c r="D3648">
        <v>12275899</v>
      </c>
    </row>
    <row r="3649" spans="1:4" x14ac:dyDescent="0.25">
      <c r="A3649" t="str">
        <f>T("   110100")</f>
        <v xml:space="preserve">   110100</v>
      </c>
      <c r="B3649" t="str">
        <f>T("   Farines de froment [blé] ou de méteil")</f>
        <v xml:space="preserve">   Farines de froment [blé] ou de méteil</v>
      </c>
      <c r="C3649">
        <v>7219586.0360000003</v>
      </c>
      <c r="D3649">
        <v>24000</v>
      </c>
    </row>
    <row r="3650" spans="1:4" x14ac:dyDescent="0.25">
      <c r="A3650" t="str">
        <f>T("   150910")</f>
        <v xml:space="preserve">   150910</v>
      </c>
      <c r="B3650" t="str">
        <f>T("   Huile d'olive vierge et ses fractions, obtenues, à partir des fruits de l'olivier, uniquement par des procédés mécaniques ou physiques, dans des conditions n'altérant pas l'huile")</f>
        <v xml:space="preserve">   Huile d'olive vierge et ses fractions, obtenues, à partir des fruits de l'olivier, uniquement par des procédés mécaniques ou physiques, dans des conditions n'altérant pas l'huile</v>
      </c>
      <c r="C3650">
        <v>7332977</v>
      </c>
      <c r="D3650">
        <v>3787</v>
      </c>
    </row>
    <row r="3651" spans="1:4" x14ac:dyDescent="0.25">
      <c r="A3651" t="str">
        <f>T("   150990")</f>
        <v xml:space="preserve">   150990</v>
      </c>
      <c r="B3651" t="str">
        <f>T("   Huile d'olive et ses fractions, traitées mais non chimiquement modifiées, obtenues, à partir des fruits de l'olivier, uniquement par des procédés mécaniques ou physiques, dans des conditions n'altérant pas l'huile")</f>
        <v xml:space="preserve">   Huile d'olive et ses fractions, traitées mais non chimiquement modifiées, obtenues, à partir des fruits de l'olivier, uniquement par des procédés mécaniques ou physiques, dans des conditions n'altérant pas l'huile</v>
      </c>
      <c r="C3651">
        <v>43537348</v>
      </c>
      <c r="D3651">
        <v>181072</v>
      </c>
    </row>
    <row r="3652" spans="1:4" x14ac:dyDescent="0.25">
      <c r="A3652" t="str">
        <f>T("   151190")</f>
        <v xml:space="preserve">   151190</v>
      </c>
      <c r="B3652" t="str">
        <f>T("   Huile de palme et ses fractions, même raffinées, mais non chimiquement modifiées (à l'excl. de l'huile de palme brute)")</f>
        <v xml:space="preserve">   Huile de palme et ses fractions, même raffinées, mais non chimiquement modifiées (à l'excl. de l'huile de palme brute)</v>
      </c>
      <c r="C3652">
        <v>522159529.73100001</v>
      </c>
      <c r="D3652">
        <v>1666577</v>
      </c>
    </row>
    <row r="3653" spans="1:4" x14ac:dyDescent="0.25">
      <c r="A3653" t="str">
        <f>T("   151219")</f>
        <v xml:space="preserve">   151219</v>
      </c>
      <c r="B3653" t="str">
        <f>T("   Huiles de tournesol ou de carthame et leurs fractions, même raffinées, mais non chimiquement modifiées (à l'excl. des huiles brutes)")</f>
        <v xml:space="preserve">   Huiles de tournesol ou de carthame et leurs fractions, même raffinées, mais non chimiquement modifiées (à l'excl. des huiles brutes)</v>
      </c>
      <c r="C3653">
        <v>991812</v>
      </c>
      <c r="D3653">
        <v>1190</v>
      </c>
    </row>
    <row r="3654" spans="1:4" x14ac:dyDescent="0.25">
      <c r="A3654" t="str">
        <f>T("   151590")</f>
        <v xml:space="preserve">   151590</v>
      </c>
      <c r="B3654" t="s">
        <v>35</v>
      </c>
      <c r="C3654">
        <v>26400000</v>
      </c>
      <c r="D3654">
        <v>141408</v>
      </c>
    </row>
    <row r="3655" spans="1:4" x14ac:dyDescent="0.25">
      <c r="A3655" t="str">
        <f>T("   151620")</f>
        <v xml:space="preserve">   151620</v>
      </c>
      <c r="B3655"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3655">
        <v>209904020</v>
      </c>
      <c r="D3655">
        <v>1049154</v>
      </c>
    </row>
    <row r="3656" spans="1:4" x14ac:dyDescent="0.25">
      <c r="A3656" t="str">
        <f>T("   160100")</f>
        <v xml:space="preserve">   160100</v>
      </c>
      <c r="B3656" t="str">
        <f>T("   Saucisses, saucissons et produits simil., de viande, d'abats ou de sang; préparations alimentaires à base de ces produits")</f>
        <v xml:space="preserve">   Saucisses, saucissons et produits simil., de viande, d'abats ou de sang; préparations alimentaires à base de ces produits</v>
      </c>
      <c r="C3656">
        <v>22349869</v>
      </c>
      <c r="D3656">
        <v>37236</v>
      </c>
    </row>
    <row r="3657" spans="1:4" x14ac:dyDescent="0.25">
      <c r="A3657" t="str">
        <f>T("   160232")</f>
        <v xml:space="preserve">   160232</v>
      </c>
      <c r="B3657" t="s">
        <v>39</v>
      </c>
      <c r="C3657">
        <v>543135</v>
      </c>
      <c r="D3657">
        <v>900</v>
      </c>
    </row>
    <row r="3658" spans="1:4" x14ac:dyDescent="0.25">
      <c r="A3658" t="str">
        <f>T("   160242")</f>
        <v xml:space="preserve">   160242</v>
      </c>
      <c r="B3658" t="str">
        <f>T("   Préparations et conserves d'épaules et de morceaux d'épaules des animaux de l'espèce porcine")</f>
        <v xml:space="preserve">   Préparations et conserves d'épaules et de morceaux d'épaules des animaux de l'espèce porcine</v>
      </c>
      <c r="C3658">
        <v>1740918</v>
      </c>
      <c r="D3658">
        <v>2900</v>
      </c>
    </row>
    <row r="3659" spans="1:4" x14ac:dyDescent="0.25">
      <c r="A3659" t="str">
        <f>T("   160250")</f>
        <v xml:space="preserve">   160250</v>
      </c>
      <c r="B3659" t="s">
        <v>42</v>
      </c>
      <c r="C3659">
        <v>828477</v>
      </c>
      <c r="D3659">
        <v>1380</v>
      </c>
    </row>
    <row r="3660" spans="1:4" x14ac:dyDescent="0.25">
      <c r="A3660" t="str">
        <f>T("   170199")</f>
        <v xml:space="preserve">   170199</v>
      </c>
      <c r="B3660"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3660">
        <v>214532924.69</v>
      </c>
      <c r="D3660">
        <v>974000</v>
      </c>
    </row>
    <row r="3661" spans="1:4" x14ac:dyDescent="0.25">
      <c r="A3661" t="str">
        <f>T("   170290")</f>
        <v xml:space="preserve">   170290</v>
      </c>
      <c r="B3661" t="s">
        <v>45</v>
      </c>
      <c r="C3661">
        <v>1581565</v>
      </c>
      <c r="D3661">
        <v>3978</v>
      </c>
    </row>
    <row r="3662" spans="1:4" x14ac:dyDescent="0.25">
      <c r="A3662" t="str">
        <f>T("   170490")</f>
        <v xml:space="preserve">   170490</v>
      </c>
      <c r="B3662" t="str">
        <f>T("   Sucreries sans cacao, y.c. le chocolat blanc (à l'excl. des gommes à mâcher)")</f>
        <v xml:space="preserve">   Sucreries sans cacao, y.c. le chocolat blanc (à l'excl. des gommes à mâcher)</v>
      </c>
      <c r="C3662">
        <v>4174150</v>
      </c>
      <c r="D3662">
        <v>21945</v>
      </c>
    </row>
    <row r="3663" spans="1:4" x14ac:dyDescent="0.25">
      <c r="A3663" t="str">
        <f>T("   180632")</f>
        <v xml:space="preserve">   180632</v>
      </c>
      <c r="B3663" t="str">
        <f>T("   CHOCOLAT ET AUTRES PRÉPARATIONS ALIMENTAIRES CONTENANT DU CACAO, PRÉSENTÉS EN TABLETTES, BARRES OU BÂTONS, D'UN POIDS &lt;= 2 KG, NON-FOURRÉS")</f>
        <v xml:space="preserve">   CHOCOLAT ET AUTRES PRÉPARATIONS ALIMENTAIRES CONTENANT DU CACAO, PRÉSENTÉS EN TABLETTES, BARRES OU BÂTONS, D'UN POIDS &lt;= 2 KG, NON-FOURRÉS</v>
      </c>
      <c r="C3663">
        <v>2233770</v>
      </c>
      <c r="D3663">
        <v>13311</v>
      </c>
    </row>
    <row r="3664" spans="1:4" x14ac:dyDescent="0.25">
      <c r="A3664" t="str">
        <f>T("   180690")</f>
        <v xml:space="preserve">   180690</v>
      </c>
      <c r="B3664" t="str">
        <f>T("   Chocolat et autres préparations alimentaires contenant du cacao, en récipients ou en emballages immédiats d'un contenu &lt;= 2 kg (à l'excl. de la poudre de cacao et des produits présentés en tablettes, barres ou bâtons)")</f>
        <v xml:space="preserve">   Chocolat et autres préparations alimentaires contenant du cacao, en récipients ou en emballages immédiats d'un contenu &lt;= 2 kg (à l'excl. de la poudre de cacao et des produits présentés en tablettes, barres ou bâtons)</v>
      </c>
      <c r="C3664">
        <v>1844560</v>
      </c>
      <c r="D3664">
        <v>2747</v>
      </c>
    </row>
    <row r="3665" spans="1:4" x14ac:dyDescent="0.25">
      <c r="A3665" t="str">
        <f>T("   190219")</f>
        <v xml:space="preserve">   190219</v>
      </c>
      <c r="B3665" t="str">
        <f>T("   PÂTES ALIMENTAIRES NON-CUITES NI FARCIES NI AUTREMENT PRÉPARÉES, NE CONTENANT PAS D'OEUFS")</f>
        <v xml:space="preserve">   PÂTES ALIMENTAIRES NON-CUITES NI FARCIES NI AUTREMENT PRÉPARÉES, NE CONTENANT PAS D'OEUFS</v>
      </c>
      <c r="C3665">
        <v>18116554</v>
      </c>
      <c r="D3665">
        <v>52012</v>
      </c>
    </row>
    <row r="3666" spans="1:4" x14ac:dyDescent="0.25">
      <c r="A3666" t="str">
        <f>T("   190510")</f>
        <v xml:space="preserve">   190510</v>
      </c>
      <c r="B3666" t="str">
        <f>T("   PAIN CROUSTILLANT DIT KNÕCKEBROT")</f>
        <v xml:space="preserve">   PAIN CROUSTILLANT DIT KNÕCKEBROT</v>
      </c>
      <c r="C3666">
        <v>1457497</v>
      </c>
      <c r="D3666">
        <v>3905</v>
      </c>
    </row>
    <row r="3667" spans="1:4" x14ac:dyDescent="0.25">
      <c r="A3667" t="str">
        <f>T("   190531")</f>
        <v xml:space="preserve">   190531</v>
      </c>
      <c r="B3667" t="str">
        <f>T("   Biscuits additionnés d'édulcorants")</f>
        <v xml:space="preserve">   Biscuits additionnés d'édulcorants</v>
      </c>
      <c r="C3667">
        <v>8810199</v>
      </c>
      <c r="D3667">
        <v>8243</v>
      </c>
    </row>
    <row r="3668" spans="1:4" x14ac:dyDescent="0.25">
      <c r="A3668" t="str">
        <f>T("   190540")</f>
        <v xml:space="preserve">   190540</v>
      </c>
      <c r="B3668" t="str">
        <f>T("   Biscottes, pain grillé et produits simil. grillés")</f>
        <v xml:space="preserve">   Biscottes, pain grillé et produits simil. grillés</v>
      </c>
      <c r="C3668">
        <v>81149</v>
      </c>
      <c r="D3668">
        <v>50</v>
      </c>
    </row>
    <row r="3669" spans="1:4" x14ac:dyDescent="0.25">
      <c r="A3669" t="str">
        <f>T("   190590")</f>
        <v xml:space="preserve">   190590</v>
      </c>
      <c r="B3669" t="s">
        <v>51</v>
      </c>
      <c r="C3669">
        <v>29369692</v>
      </c>
      <c r="D3669">
        <v>40487</v>
      </c>
    </row>
    <row r="3670" spans="1:4" x14ac:dyDescent="0.25">
      <c r="A3670" t="str">
        <f>T("   200540")</f>
        <v xml:space="preserve">   200540</v>
      </c>
      <c r="B3670" t="str">
        <f>T("   Pois [Pisum sativum], préparés ou conservés autrement qu'au vinaigre ou à l'acide acétique, non congelés")</f>
        <v xml:space="preserve">   Pois [Pisum sativum], préparés ou conservés autrement qu'au vinaigre ou à l'acide acétique, non congelés</v>
      </c>
      <c r="C3670">
        <v>7768346</v>
      </c>
      <c r="D3670">
        <v>44208</v>
      </c>
    </row>
    <row r="3671" spans="1:4" x14ac:dyDescent="0.25">
      <c r="A3671" t="str">
        <f>T("   200570")</f>
        <v xml:space="preserve">   200570</v>
      </c>
      <c r="B3671" t="str">
        <f>T("   OLIVES, PRÉPARÉES OU CONSERVÉES AUTREMENT QU'AU VINAIGRE OU À L'ACIDE ACÉTIQUE, NON-CONGELÉES")</f>
        <v xml:space="preserve">   OLIVES, PRÉPARÉES OU CONSERVÉES AUTREMENT QU'AU VINAIGRE OU À L'ACIDE ACÉTIQUE, NON-CONGELÉES</v>
      </c>
      <c r="C3671">
        <v>3330420</v>
      </c>
      <c r="D3671">
        <v>8026</v>
      </c>
    </row>
    <row r="3672" spans="1:4" x14ac:dyDescent="0.25">
      <c r="A3672" t="str">
        <f>T("   200799")</f>
        <v xml:space="preserve">   200799</v>
      </c>
      <c r="B3672" t="s">
        <v>54</v>
      </c>
      <c r="C3672">
        <v>685478</v>
      </c>
      <c r="D3672">
        <v>1020</v>
      </c>
    </row>
    <row r="3673" spans="1:4" x14ac:dyDescent="0.25">
      <c r="A3673" t="str">
        <f>T("   200899")</f>
        <v xml:space="preserve">   200899</v>
      </c>
      <c r="B3673" t="s">
        <v>58</v>
      </c>
      <c r="C3673">
        <v>1360782</v>
      </c>
      <c r="D3673">
        <v>3204</v>
      </c>
    </row>
    <row r="3674" spans="1:4" x14ac:dyDescent="0.25">
      <c r="A3674" t="str">
        <f>T("   200919")</f>
        <v xml:space="preserve">   200919</v>
      </c>
      <c r="B3674" t="str">
        <f>T("   JUS D'ORANGE, NON-FERMENTÉS, SANS ADDITION D'ALCOOL, AVEC OU SANS ADDITION DE SUCRE OU D'AUTRES ÉDULCORANTS (À L'EXCL. DES JUS CONGELÉS ET DES JUS D'UNE VALEUR BRIX &lt;= 20 À 20°C)")</f>
        <v xml:space="preserve">   JUS D'ORANGE, NON-FERMENTÉS, SANS ADDITION D'ALCOOL, AVEC OU SANS ADDITION DE SUCRE OU D'AUTRES ÉDULCORANTS (À L'EXCL. DES JUS CONGELÉS ET DES JUS D'UNE VALEUR BRIX &lt;= 20 À 20°C)</v>
      </c>
      <c r="C3674">
        <v>144271</v>
      </c>
      <c r="D3674">
        <v>583</v>
      </c>
    </row>
    <row r="3675" spans="1:4" x14ac:dyDescent="0.25">
      <c r="A3675" t="str">
        <f>T("   200950")</f>
        <v xml:space="preserve">   200950</v>
      </c>
      <c r="B3675" t="str">
        <f>T("   JUS DE TOMATE, NON-FERMENTÉS, SANS ADDITION D'ALCOOL, AVEC OU SANS ADDITION DE SUCRE OU D'AUTRES ÉDULCORANTS")</f>
        <v xml:space="preserve">   JUS DE TOMATE, NON-FERMENTÉS, SANS ADDITION D'ALCOOL, AVEC OU SANS ADDITION DE SUCRE OU D'AUTRES ÉDULCORANTS</v>
      </c>
      <c r="C3675">
        <v>58014</v>
      </c>
      <c r="D3675">
        <v>233</v>
      </c>
    </row>
    <row r="3676" spans="1:4" x14ac:dyDescent="0.25">
      <c r="A3676" t="str">
        <f>T("   200969")</f>
        <v xml:space="preserve">   200969</v>
      </c>
      <c r="B3676" t="str">
        <f>T("   JUS DE RAISIN - Y.C. LES MOÛTS DE RAISIN -, NON-FERMENTÉS, SANS ADDITION D'ALCOOL, AVEC OU SANS ADDITION DE SUCRE OU D'AUTRES ÉDULCORANTS, D'UNE VALEUR BRIX &gt; 30 À 20°C")</f>
        <v xml:space="preserve">   JUS DE RAISIN - Y.C. LES MOÛTS DE RAISIN -, NON-FERMENTÉS, SANS ADDITION D'ALCOOL, AVEC OU SANS ADDITION DE SUCRE OU D'AUTRES ÉDULCORANTS, D'UNE VALEUR BRIX &gt; 30 À 20°C</v>
      </c>
      <c r="C3676">
        <v>3022598</v>
      </c>
      <c r="D3676">
        <v>19731</v>
      </c>
    </row>
    <row r="3677" spans="1:4" x14ac:dyDescent="0.25">
      <c r="A3677" t="str">
        <f>T("   200979")</f>
        <v xml:space="preserve">   200979</v>
      </c>
      <c r="B3677" t="str">
        <f>T("   JUS DE POMME, NON-FERMENTÉS, SANS ADDITION D'ALCOOL, AVEC OU SANS ADDITION DE SUCRE OU D'AUTRES ÉDULCORANTS, D'UNE VALEUR BRIX &gt; 20 À 20°C")</f>
        <v xml:space="preserve">   JUS DE POMME, NON-FERMENTÉS, SANS ADDITION D'ALCOOL, AVEC OU SANS ADDITION DE SUCRE OU D'AUTRES ÉDULCORANTS, D'UNE VALEUR BRIX &gt; 20 À 20°C</v>
      </c>
      <c r="C3677">
        <v>144271</v>
      </c>
      <c r="D3677">
        <v>583</v>
      </c>
    </row>
    <row r="3678" spans="1:4" x14ac:dyDescent="0.25">
      <c r="A3678" t="str">
        <f>T("   200980")</f>
        <v xml:space="preserve">   200980</v>
      </c>
      <c r="B3678"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3678">
        <v>28377486</v>
      </c>
      <c r="D3678">
        <v>112610</v>
      </c>
    </row>
    <row r="3679" spans="1:4" x14ac:dyDescent="0.25">
      <c r="A3679" t="str">
        <f>T("   200990")</f>
        <v xml:space="preserve">   200990</v>
      </c>
      <c r="B3679"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3679">
        <v>5343600</v>
      </c>
      <c r="D3679">
        <v>14918</v>
      </c>
    </row>
    <row r="3680" spans="1:4" x14ac:dyDescent="0.25">
      <c r="A3680" t="str">
        <f>T("   210320")</f>
        <v xml:space="preserve">   210320</v>
      </c>
      <c r="B3680" t="str">
        <f>T("   Tomato ketchup et autres sauces tomates")</f>
        <v xml:space="preserve">   Tomato ketchup et autres sauces tomates</v>
      </c>
      <c r="C3680">
        <v>1000195</v>
      </c>
      <c r="D3680">
        <v>750</v>
      </c>
    </row>
    <row r="3681" spans="1:4" x14ac:dyDescent="0.25">
      <c r="A3681" t="str">
        <f>T("   210390")</f>
        <v xml:space="preserve">   210390</v>
      </c>
      <c r="B3681"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3681">
        <v>8338117</v>
      </c>
      <c r="D3681">
        <v>8673.5</v>
      </c>
    </row>
    <row r="3682" spans="1:4" x14ac:dyDescent="0.25">
      <c r="A3682" t="str">
        <f>T("   210690")</f>
        <v xml:space="preserve">   210690</v>
      </c>
      <c r="B3682" t="str">
        <f>T("   Préparations alimentaires, n.d.a.")</f>
        <v xml:space="preserve">   Préparations alimentaires, n.d.a.</v>
      </c>
      <c r="C3682">
        <v>1297700</v>
      </c>
      <c r="D3682">
        <v>26614.5</v>
      </c>
    </row>
    <row r="3683" spans="1:4" x14ac:dyDescent="0.25">
      <c r="A3683" t="str">
        <f>T("   220110")</f>
        <v xml:space="preserve">   220110</v>
      </c>
      <c r="B3683" t="str">
        <f>T("   Eaux minérales et eaux gazéifiées, non additionnées de sucre ou d'autres édulcorants ni aromatisées")</f>
        <v xml:space="preserve">   Eaux minérales et eaux gazéifiées, non additionnées de sucre ou d'autres édulcorants ni aromatisées</v>
      </c>
      <c r="C3683">
        <v>14202423</v>
      </c>
      <c r="D3683">
        <v>138935</v>
      </c>
    </row>
    <row r="3684" spans="1:4" x14ac:dyDescent="0.25">
      <c r="A3684" t="str">
        <f>T("   220190")</f>
        <v xml:space="preserve">   220190</v>
      </c>
      <c r="B3684" t="str">
        <f>T("   Eaux, non additionnées de sucre ou d'autres édulcorants ni aromatisées (à l'excl. des eaux minérales, des eaux gazéifiées, de l'eau de mer ainsi que des eaux distillées, de conductibilité ou de même degré de pureté); glace et neige")</f>
        <v xml:space="preserve">   Eaux, non additionnées de sucre ou d'autres édulcorants ni aromatisées (à l'excl. des eaux minérales, des eaux gazéifiées, de l'eau de mer ainsi que des eaux distillées, de conductibilité ou de même degré de pureté); glace et neige</v>
      </c>
      <c r="C3684">
        <v>164239</v>
      </c>
      <c r="D3684">
        <v>1129</v>
      </c>
    </row>
    <row r="3685" spans="1:4" x14ac:dyDescent="0.25">
      <c r="A3685" t="str">
        <f>T("   220210")</f>
        <v xml:space="preserve">   220210</v>
      </c>
      <c r="B3685"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3685">
        <v>51796569</v>
      </c>
      <c r="D3685">
        <v>169269</v>
      </c>
    </row>
    <row r="3686" spans="1:4" x14ac:dyDescent="0.25">
      <c r="A3686" t="str">
        <f>T("   220290")</f>
        <v xml:space="preserve">   220290</v>
      </c>
      <c r="B3686" t="str">
        <f>T("   BOISSONS NON-ALCOOLIQUES (À L'EXCL. DES EAUX, DES JUS DE FRUITS OU DE LÉGUMES AINSI QUE DU LAIT)")</f>
        <v xml:space="preserve">   BOISSONS NON-ALCOOLIQUES (À L'EXCL. DES EAUX, DES JUS DE FRUITS OU DE LÉGUMES AINSI QUE DU LAIT)</v>
      </c>
      <c r="C3686">
        <v>142408190</v>
      </c>
      <c r="D3686">
        <v>537488</v>
      </c>
    </row>
    <row r="3687" spans="1:4" x14ac:dyDescent="0.25">
      <c r="A3687" t="str">
        <f>T("   220300")</f>
        <v xml:space="preserve">   220300</v>
      </c>
      <c r="B3687" t="str">
        <f>T("   Bières de malt")</f>
        <v xml:space="preserve">   Bières de malt</v>
      </c>
      <c r="C3687">
        <v>16816190</v>
      </c>
      <c r="D3687">
        <v>63270</v>
      </c>
    </row>
    <row r="3688" spans="1:4" x14ac:dyDescent="0.25">
      <c r="A3688" t="str">
        <f>T("   220410")</f>
        <v xml:space="preserve">   220410</v>
      </c>
      <c r="B3688" t="str">
        <f>T("   Vins mousseux produits à partir de raisins frais")</f>
        <v xml:space="preserve">   Vins mousseux produits à partir de raisins frais</v>
      </c>
      <c r="C3688">
        <v>54442723</v>
      </c>
      <c r="D3688">
        <v>215471</v>
      </c>
    </row>
    <row r="3689" spans="1:4" x14ac:dyDescent="0.25">
      <c r="A3689" t="str">
        <f>T("   220421")</f>
        <v xml:space="preserve">   220421</v>
      </c>
      <c r="B3689" t="str">
        <f>T("   Vins de raisins frais, y.c. les vins enrichis en alcool (à l'excl. des vins mousseux); moûts de raisins dont la fermentation a été empêchée ou arrêtée par addition d'alcool, en récipients d'une contenance &lt;= 2 l")</f>
        <v xml:space="preserve">   Vins de raisins frais, y.c. les vins enrichis en alcool (à l'excl. des vins mousseux); moûts de raisins dont la fermentation a été empêchée ou arrêtée par addition d'alcool, en récipients d'une contenance &lt;= 2 l</v>
      </c>
      <c r="C3689">
        <v>1212204613</v>
      </c>
      <c r="D3689">
        <v>5642955</v>
      </c>
    </row>
    <row r="3690" spans="1:4" x14ac:dyDescent="0.25">
      <c r="A3690" t="str">
        <f>T("   220429")</f>
        <v xml:space="preserve">   220429</v>
      </c>
      <c r="B3690" t="str">
        <f>T("   VINS DE RAISINS FRAIS, Y.C. LES VINS ENRICHIS EN ALCOOL, ET MOÛTS DE RAISINS DONT LA FERMENTATION A ÉTÉ EMPÊCHÉE OU ARRÊTÉE PAR ADDITION D'ALCOOL, EN RÉCIPIENTS D'UNE CONTENANCE &gt; 2 L (À L'EXCL. DES VINS MOUSSEUX)")</f>
        <v xml:space="preserve">   VINS DE RAISINS FRAIS, Y.C. LES VINS ENRICHIS EN ALCOOL, ET MOÛTS DE RAISINS DONT LA FERMENTATION A ÉTÉ EMPÊCHÉE OU ARRÊTÉE PAR ADDITION D'ALCOOL, EN RÉCIPIENTS D'UNE CONTENANCE &gt; 2 L (À L'EXCL. DES VINS MOUSSEUX)</v>
      </c>
      <c r="C3690">
        <v>8617762</v>
      </c>
      <c r="D3690">
        <v>49028</v>
      </c>
    </row>
    <row r="3691" spans="1:4" x14ac:dyDescent="0.25">
      <c r="A3691" t="str">
        <f>T("   220510")</f>
        <v xml:space="preserve">   220510</v>
      </c>
      <c r="B3691" t="str">
        <f>T("   Vermouths et autres vins de raisins frais préparés à l'aide de plantes ou de substances aromatiques, en récipients d'une contenance &lt;= 2 l")</f>
        <v xml:space="preserve">   Vermouths et autres vins de raisins frais préparés à l'aide de plantes ou de substances aromatiques, en récipients d'une contenance &lt;= 2 l</v>
      </c>
      <c r="C3691">
        <v>222463228</v>
      </c>
      <c r="D3691">
        <v>1051523</v>
      </c>
    </row>
    <row r="3692" spans="1:4" x14ac:dyDescent="0.25">
      <c r="A3692" t="str">
        <f>T("   220820")</f>
        <v xml:space="preserve">   220820</v>
      </c>
      <c r="B3692" t="str">
        <f>T("   Eaux-de-vie de vin ou de marc de raisins")</f>
        <v xml:space="preserve">   Eaux-de-vie de vin ou de marc de raisins</v>
      </c>
      <c r="C3692">
        <v>10147964</v>
      </c>
      <c r="D3692">
        <v>18529</v>
      </c>
    </row>
    <row r="3693" spans="1:4" x14ac:dyDescent="0.25">
      <c r="A3693" t="str">
        <f>T("   220830")</f>
        <v xml:space="preserve">   220830</v>
      </c>
      <c r="B3693" t="str">
        <f>T("   Whiskies")</f>
        <v xml:space="preserve">   Whiskies</v>
      </c>
      <c r="C3693">
        <v>1958001</v>
      </c>
      <c r="D3693">
        <v>2195</v>
      </c>
    </row>
    <row r="3694" spans="1:4" x14ac:dyDescent="0.25">
      <c r="A3694" t="str">
        <f>T("   220840")</f>
        <v xml:space="preserve">   220840</v>
      </c>
      <c r="B3694" t="str">
        <f>T("   RHUM ET AUTRES EAUX-DE-VIE PROVENANT DE LA DISTILLATION, APRÈS FERMENTATION, DE PRODUITS DE CANNES À SUCRE")</f>
        <v xml:space="preserve">   RHUM ET AUTRES EAUX-DE-VIE PROVENANT DE LA DISTILLATION, APRÈS FERMENTATION, DE PRODUITS DE CANNES À SUCRE</v>
      </c>
      <c r="C3694">
        <v>7847525</v>
      </c>
      <c r="D3694">
        <v>12075</v>
      </c>
    </row>
    <row r="3695" spans="1:4" x14ac:dyDescent="0.25">
      <c r="A3695" t="str">
        <f>T("   220850")</f>
        <v xml:space="preserve">   220850</v>
      </c>
      <c r="B3695" t="str">
        <f>T("   Gin et genièvre")</f>
        <v xml:space="preserve">   Gin et genièvre</v>
      </c>
      <c r="C3695">
        <v>6502492</v>
      </c>
      <c r="D3695">
        <v>27594</v>
      </c>
    </row>
    <row r="3696" spans="1:4" x14ac:dyDescent="0.25">
      <c r="A3696" t="str">
        <f>T("   220860")</f>
        <v xml:space="preserve">   220860</v>
      </c>
      <c r="B3696" t="str">
        <f>T("   VODKA")</f>
        <v xml:space="preserve">   VODKA</v>
      </c>
      <c r="C3696">
        <v>787152</v>
      </c>
      <c r="D3696">
        <v>2775</v>
      </c>
    </row>
    <row r="3697" spans="1:4" x14ac:dyDescent="0.25">
      <c r="A3697" t="str">
        <f>T("   220870")</f>
        <v xml:space="preserve">   220870</v>
      </c>
      <c r="B3697" t="str">
        <f>T("   LIQUEURS")</f>
        <v xml:space="preserve">   LIQUEURS</v>
      </c>
      <c r="C3697">
        <v>33606682</v>
      </c>
      <c r="D3697">
        <v>87917</v>
      </c>
    </row>
    <row r="3698" spans="1:4" x14ac:dyDescent="0.25">
      <c r="A3698" t="str">
        <f>T("   220890")</f>
        <v xml:space="preserve">   220890</v>
      </c>
      <c r="B3698" t="s">
        <v>61</v>
      </c>
      <c r="C3698">
        <v>36147251</v>
      </c>
      <c r="D3698">
        <v>100238</v>
      </c>
    </row>
    <row r="3699" spans="1:4" x14ac:dyDescent="0.25">
      <c r="A3699" t="str">
        <f>T("   220900")</f>
        <v xml:space="preserve">   220900</v>
      </c>
      <c r="B3699" t="str">
        <f>T("   Vinaigres comestibles et succédanés de vinaigre comestibles obtenus à partir d'acide acétique")</f>
        <v xml:space="preserve">   Vinaigres comestibles et succédanés de vinaigre comestibles obtenus à partir d'acide acétique</v>
      </c>
      <c r="C3699">
        <v>42126</v>
      </c>
      <c r="D3699">
        <v>99</v>
      </c>
    </row>
    <row r="3700" spans="1:4" x14ac:dyDescent="0.25">
      <c r="A3700" t="str">
        <f>T("   230910")</f>
        <v xml:space="preserve">   230910</v>
      </c>
      <c r="B3700" t="str">
        <f>T("   Aliments pour chiens ou chats, conditionnés pour la vente au détail")</f>
        <v xml:space="preserve">   Aliments pour chiens ou chats, conditionnés pour la vente au détail</v>
      </c>
      <c r="C3700">
        <v>1441800</v>
      </c>
      <c r="D3700">
        <v>2148</v>
      </c>
    </row>
    <row r="3701" spans="1:4" x14ac:dyDescent="0.25">
      <c r="A3701" t="str">
        <f>T("   250100")</f>
        <v xml:space="preserve">   250100</v>
      </c>
      <c r="B3701" t="s">
        <v>63</v>
      </c>
      <c r="C3701">
        <v>25097</v>
      </c>
      <c r="D3701">
        <v>50</v>
      </c>
    </row>
    <row r="3702" spans="1:4" x14ac:dyDescent="0.25">
      <c r="A3702" t="str">
        <f>T("   250900")</f>
        <v xml:space="preserve">   250900</v>
      </c>
      <c r="B3702" t="str">
        <f>T("   Craie")</f>
        <v xml:space="preserve">   Craie</v>
      </c>
      <c r="C3702">
        <v>10993890</v>
      </c>
      <c r="D3702">
        <v>96000</v>
      </c>
    </row>
    <row r="3703" spans="1:4" x14ac:dyDescent="0.25">
      <c r="A3703" t="str">
        <f>T("   252010")</f>
        <v xml:space="preserve">   252010</v>
      </c>
      <c r="B3703" t="str">
        <f>T("   Gypse; anhydrite")</f>
        <v xml:space="preserve">   Gypse; anhydrite</v>
      </c>
      <c r="C3703">
        <v>1364190232</v>
      </c>
      <c r="D3703">
        <v>52500000</v>
      </c>
    </row>
    <row r="3704" spans="1:4" x14ac:dyDescent="0.25">
      <c r="A3704" t="str">
        <f>T("   252020")</f>
        <v xml:space="preserve">   252020</v>
      </c>
      <c r="B3704" t="str">
        <f>T("   Plâtres, même colorés ou additionnés de faibles quantités d'accélérateurs ou de retardateurs")</f>
        <v xml:space="preserve">   Plâtres, même colorés ou additionnés de faibles quantités d'accélérateurs ou de retardateurs</v>
      </c>
      <c r="C3704">
        <v>357583</v>
      </c>
      <c r="D3704">
        <v>10959</v>
      </c>
    </row>
    <row r="3705" spans="1:4" x14ac:dyDescent="0.25">
      <c r="A3705" t="str">
        <f>T("   252210")</f>
        <v xml:space="preserve">   252210</v>
      </c>
      <c r="B3705" t="str">
        <f>T("   Chaux vive")</f>
        <v xml:space="preserve">   Chaux vive</v>
      </c>
      <c r="C3705">
        <v>39848626</v>
      </c>
      <c r="D3705">
        <v>504321</v>
      </c>
    </row>
    <row r="3706" spans="1:4" x14ac:dyDescent="0.25">
      <c r="A3706" t="str">
        <f>T("   252321")</f>
        <v xml:space="preserve">   252321</v>
      </c>
      <c r="B3706" t="str">
        <f>T("   Ciments Portland blancs, même colorés artificiellement")</f>
        <v xml:space="preserve">   Ciments Portland blancs, même colorés artificiellement</v>
      </c>
      <c r="C3706">
        <v>2873262</v>
      </c>
      <c r="D3706">
        <v>34070</v>
      </c>
    </row>
    <row r="3707" spans="1:4" x14ac:dyDescent="0.25">
      <c r="A3707" t="str">
        <f>T("   253090")</f>
        <v xml:space="preserve">   253090</v>
      </c>
      <c r="B3707" t="str">
        <f>T("   Sulfures d'arsenic, alunite, terre de pouzzolane, terres colorantes et autres matières minérales, n.d.a.")</f>
        <v xml:space="preserve">   Sulfures d'arsenic, alunite, terre de pouzzolane, terres colorantes et autres matières minérales, n.d.a.</v>
      </c>
      <c r="C3707">
        <v>3778061</v>
      </c>
      <c r="D3707">
        <v>46747</v>
      </c>
    </row>
    <row r="3708" spans="1:4" x14ac:dyDescent="0.25">
      <c r="A3708" t="str">
        <f>T("   271019")</f>
        <v xml:space="preserve">   271019</v>
      </c>
      <c r="B3708" t="str">
        <f>T("   Huiles moyennes et préparations, de pétrole ou de minéraux bitumineux, n.d.a.")</f>
        <v xml:space="preserve">   Huiles moyennes et préparations, de pétrole ou de minéraux bitumineux, n.d.a.</v>
      </c>
      <c r="C3708">
        <v>39138981</v>
      </c>
      <c r="D3708">
        <v>65417</v>
      </c>
    </row>
    <row r="3709" spans="1:4" x14ac:dyDescent="0.25">
      <c r="A3709" t="str">
        <f>T("   271490")</f>
        <v xml:space="preserve">   271490</v>
      </c>
      <c r="B3709" t="str">
        <f>T("   Bitumes et asphaltes, naturels; asphaltites et roches asphaltiques")</f>
        <v xml:space="preserve">   Bitumes et asphaltes, naturels; asphaltites et roches asphaltiques</v>
      </c>
      <c r="C3709">
        <v>3256107</v>
      </c>
      <c r="D3709">
        <v>7693</v>
      </c>
    </row>
    <row r="3710" spans="1:4" x14ac:dyDescent="0.25">
      <c r="A3710" t="str">
        <f>T("   280610")</f>
        <v xml:space="preserve">   280610</v>
      </c>
      <c r="B3710" t="str">
        <f>T("   Chlorure d'hydrogène [acide chlorhydrique]")</f>
        <v xml:space="preserve">   Chlorure d'hydrogène [acide chlorhydrique]</v>
      </c>
      <c r="C3710">
        <v>5778351</v>
      </c>
      <c r="D3710">
        <v>18884</v>
      </c>
    </row>
    <row r="3711" spans="1:4" x14ac:dyDescent="0.25">
      <c r="A3711" t="str">
        <f>T("   281511")</f>
        <v xml:space="preserve">   281511</v>
      </c>
      <c r="B3711" t="str">
        <f>T("   Hydroxyde de sodium [soude caustique], solide")</f>
        <v xml:space="preserve">   Hydroxyde de sodium [soude caustique], solide</v>
      </c>
      <c r="C3711">
        <v>227157632</v>
      </c>
      <c r="D3711">
        <v>471288</v>
      </c>
    </row>
    <row r="3712" spans="1:4" x14ac:dyDescent="0.25">
      <c r="A3712" t="str">
        <f>T("   283650")</f>
        <v xml:space="preserve">   283650</v>
      </c>
      <c r="B3712" t="str">
        <f>T("   Carbonate de calcium")</f>
        <v xml:space="preserve">   Carbonate de calcium</v>
      </c>
      <c r="C3712">
        <v>51800507</v>
      </c>
      <c r="D3712">
        <v>422850</v>
      </c>
    </row>
    <row r="3713" spans="1:4" x14ac:dyDescent="0.25">
      <c r="A3713" t="str">
        <f>T("   283670")</f>
        <v xml:space="preserve">   283670</v>
      </c>
      <c r="B3713" t="str">
        <f>T("   Carbonates de plomb")</f>
        <v xml:space="preserve">   Carbonates de plomb</v>
      </c>
      <c r="C3713">
        <v>3580230</v>
      </c>
      <c r="D3713">
        <v>453</v>
      </c>
    </row>
    <row r="3714" spans="1:4" x14ac:dyDescent="0.25">
      <c r="A3714" t="str">
        <f>T("   292320")</f>
        <v xml:space="preserve">   292320</v>
      </c>
      <c r="B3714" t="str">
        <f>T("   Lécithines et autres phosphoaminolipides, de constitution chimique définie ou non")</f>
        <v xml:space="preserve">   Lécithines et autres phosphoaminolipides, de constitution chimique définie ou non</v>
      </c>
      <c r="C3714">
        <v>1584799</v>
      </c>
      <c r="D3714">
        <v>446</v>
      </c>
    </row>
    <row r="3715" spans="1:4" x14ac:dyDescent="0.25">
      <c r="A3715" t="str">
        <f>T("   300390")</f>
        <v xml:space="preserve">   300390</v>
      </c>
      <c r="B3715" t="s">
        <v>75</v>
      </c>
      <c r="C3715">
        <v>5446141</v>
      </c>
      <c r="D3715">
        <v>1494</v>
      </c>
    </row>
    <row r="3716" spans="1:4" x14ac:dyDescent="0.25">
      <c r="A3716" t="str">
        <f>T("   300439")</f>
        <v xml:space="preserve">   300439</v>
      </c>
      <c r="B3716" t="s">
        <v>78</v>
      </c>
      <c r="C3716">
        <v>6950224</v>
      </c>
      <c r="D3716">
        <v>263</v>
      </c>
    </row>
    <row r="3717" spans="1:4" x14ac:dyDescent="0.25">
      <c r="A3717" t="str">
        <f>T("   300490")</f>
        <v xml:space="preserve">   300490</v>
      </c>
      <c r="B3717" t="s">
        <v>80</v>
      </c>
      <c r="C3717">
        <v>15448515</v>
      </c>
      <c r="D3717">
        <v>12852</v>
      </c>
    </row>
    <row r="3718" spans="1:4" x14ac:dyDescent="0.25">
      <c r="A3718" t="str">
        <f>T("   300610")</f>
        <v xml:space="preserve">   300610</v>
      </c>
      <c r="B3718" t="s">
        <v>82</v>
      </c>
      <c r="C3718">
        <v>7278394</v>
      </c>
      <c r="D3718">
        <v>41</v>
      </c>
    </row>
    <row r="3719" spans="1:4" x14ac:dyDescent="0.25">
      <c r="A3719" t="str">
        <f>T("   320411")</f>
        <v xml:space="preserve">   320411</v>
      </c>
      <c r="B3719" t="s">
        <v>87</v>
      </c>
      <c r="C3719">
        <v>754354</v>
      </c>
      <c r="D3719">
        <v>446</v>
      </c>
    </row>
    <row r="3720" spans="1:4" x14ac:dyDescent="0.25">
      <c r="A3720" t="str">
        <f>T("   321410")</f>
        <v xml:space="preserve">   321410</v>
      </c>
      <c r="B3720" t="str">
        <f>T("   Mastic de vitrier, ciments de résine et autres mastics; enduits utilisés en peinture")</f>
        <v xml:space="preserve">   Mastic de vitrier, ciments de résine et autres mastics; enduits utilisés en peinture</v>
      </c>
      <c r="C3720">
        <v>17055</v>
      </c>
      <c r="D3720">
        <v>71</v>
      </c>
    </row>
    <row r="3721" spans="1:4" x14ac:dyDescent="0.25">
      <c r="A3721" t="str">
        <f>T("   321490")</f>
        <v xml:space="preserve">   321490</v>
      </c>
      <c r="B3721" t="str">
        <f>T("   Enduits non réfractaires des types utilisés en maçonnerie")</f>
        <v xml:space="preserve">   Enduits non réfractaires des types utilisés en maçonnerie</v>
      </c>
      <c r="C3721">
        <v>10058491</v>
      </c>
      <c r="D3721">
        <v>131500</v>
      </c>
    </row>
    <row r="3722" spans="1:4" x14ac:dyDescent="0.25">
      <c r="A3722" t="str">
        <f>T("   330300")</f>
        <v xml:space="preserve">   330300</v>
      </c>
      <c r="B3722" t="str">
        <f>T("   Parfums et eaux de toilette (à l'excl. des préparations pour l'après-rasage [lotions after-shave] et des désodorisants corporels)")</f>
        <v xml:space="preserve">   Parfums et eaux de toilette (à l'excl. des préparations pour l'après-rasage [lotions after-shave] et des désodorisants corporels)</v>
      </c>
      <c r="C3722">
        <v>1116481</v>
      </c>
      <c r="D3722">
        <v>2240</v>
      </c>
    </row>
    <row r="3723" spans="1:4" x14ac:dyDescent="0.25">
      <c r="A3723" t="str">
        <f>T("   330491")</f>
        <v xml:space="preserve">   330491</v>
      </c>
      <c r="B3723" t="str">
        <f>T("   Poudres pour le maquillage ou l'entretien ou les soins de la peau, y.c. les poudres pour bébés et les poudres compactes (à l'excl. des médicaments)")</f>
        <v xml:space="preserve">   Poudres pour le maquillage ou l'entretien ou les soins de la peau, y.c. les poudres pour bébés et les poudres compactes (à l'excl. des médicaments)</v>
      </c>
      <c r="C3723">
        <v>6377900</v>
      </c>
      <c r="D3723">
        <v>12455</v>
      </c>
    </row>
    <row r="3724" spans="1:4" x14ac:dyDescent="0.25">
      <c r="A3724" t="str">
        <f>T("   330499")</f>
        <v xml:space="preserve">   330499</v>
      </c>
      <c r="B3724" t="s">
        <v>101</v>
      </c>
      <c r="C3724">
        <v>7608153</v>
      </c>
      <c r="D3724">
        <v>16428</v>
      </c>
    </row>
    <row r="3725" spans="1:4" x14ac:dyDescent="0.25">
      <c r="A3725" t="str">
        <f>T("   330610")</f>
        <v xml:space="preserve">   330610</v>
      </c>
      <c r="B3725" t="str">
        <f>T("   Dentifrices, préparés, même des types utilisés par les dentistes")</f>
        <v xml:space="preserve">   Dentifrices, préparés, même des types utilisés par les dentistes</v>
      </c>
      <c r="C3725">
        <v>2186000</v>
      </c>
      <c r="D3725">
        <v>2005</v>
      </c>
    </row>
    <row r="3726" spans="1:4" x14ac:dyDescent="0.25">
      <c r="A3726" t="str">
        <f>T("   330690")</f>
        <v xml:space="preserve">   330690</v>
      </c>
      <c r="B3726" t="str">
        <f>T("   Préparations pour l'hygiène buccale ou dentaire, y.c. les poudres et crèmes pour faciliter l'adhérence des dentiers (à l'excl. des dentifrices et des fils utilisés pour nettoyer les espaces interdentaires [fils dentaires])")</f>
        <v xml:space="preserve">   Préparations pour l'hygiène buccale ou dentaire, y.c. les poudres et crèmes pour faciliter l'adhérence des dentiers (à l'excl. des dentifrices et des fils utilisés pour nettoyer les espaces interdentaires [fils dentaires])</v>
      </c>
      <c r="C3726">
        <v>1750000</v>
      </c>
      <c r="D3726">
        <v>859</v>
      </c>
    </row>
    <row r="3727" spans="1:4" x14ac:dyDescent="0.25">
      <c r="A3727" t="str">
        <f>T("   330720")</f>
        <v xml:space="preserve">   330720</v>
      </c>
      <c r="B3727" t="str">
        <f>T("   Désodorisants corporels et antisudoraux, préparés")</f>
        <v xml:space="preserve">   Désodorisants corporels et antisudoraux, préparés</v>
      </c>
      <c r="C3727">
        <v>647432</v>
      </c>
      <c r="D3727">
        <v>1620</v>
      </c>
    </row>
    <row r="3728" spans="1:4" x14ac:dyDescent="0.25">
      <c r="A3728" t="str">
        <f>T("   330730")</f>
        <v xml:space="preserve">   330730</v>
      </c>
      <c r="B3728" t="str">
        <f>T("   Sels parfumés et autres préparations pour bains")</f>
        <v xml:space="preserve">   Sels parfumés et autres préparations pour bains</v>
      </c>
      <c r="C3728">
        <v>6270978</v>
      </c>
      <c r="D3728">
        <v>13850</v>
      </c>
    </row>
    <row r="3729" spans="1:4" x14ac:dyDescent="0.25">
      <c r="A3729" t="str">
        <f>T("   330749")</f>
        <v xml:space="preserve">   330749</v>
      </c>
      <c r="B3729" t="str">
        <f>T("   Préparations pour parfumer ou pour désodoriser les locaux, y.c. les préparations odoriférantes pour cérémonies religieuses (à l'excl. de l'agarbatti et des autres préparations odoriférantes agissant par combustion)")</f>
        <v xml:space="preserve">   Préparations pour parfumer ou pour désodoriser les locaux, y.c. les préparations odoriférantes pour cérémonies religieuses (à l'excl. de l'agarbatti et des autres préparations odoriférantes agissant par combustion)</v>
      </c>
      <c r="C3729">
        <v>13260888</v>
      </c>
      <c r="D3729">
        <v>20211</v>
      </c>
    </row>
    <row r="3730" spans="1:4" x14ac:dyDescent="0.25">
      <c r="A3730" t="str">
        <f>T("   340111")</f>
        <v xml:space="preserve">   340111</v>
      </c>
      <c r="B3730" t="s">
        <v>102</v>
      </c>
      <c r="C3730">
        <v>4059647</v>
      </c>
      <c r="D3730">
        <v>10151</v>
      </c>
    </row>
    <row r="3731" spans="1:4" x14ac:dyDescent="0.25">
      <c r="A3731" t="str">
        <f>T("   340119")</f>
        <v xml:space="preserve">   340119</v>
      </c>
      <c r="B3731" t="s">
        <v>103</v>
      </c>
      <c r="C3731">
        <v>6009249</v>
      </c>
      <c r="D3731">
        <v>12028</v>
      </c>
    </row>
    <row r="3732" spans="1:4" x14ac:dyDescent="0.25">
      <c r="A3732" t="str">
        <f>T("   340120")</f>
        <v xml:space="preserve">   340120</v>
      </c>
      <c r="B3732" t="str">
        <f>T("   Savons en flocons, en paillettes, en granulés ou en poudres et savons liquides ou pâteux")</f>
        <v xml:space="preserve">   Savons en flocons, en paillettes, en granulés ou en poudres et savons liquides ou pâteux</v>
      </c>
      <c r="C3732">
        <v>3002985</v>
      </c>
      <c r="D3732">
        <v>11918</v>
      </c>
    </row>
    <row r="3733" spans="1:4" x14ac:dyDescent="0.25">
      <c r="A3733" t="str">
        <f>T("   340219")</f>
        <v xml:space="preserve">   340219</v>
      </c>
      <c r="B3733" t="str">
        <f>T("   Agents de surface organiques, même conditionnés pour la vente au détail (à l'excl. des savons et des agents de surface anioniques, cationiques ou non ioniques)")</f>
        <v xml:space="preserve">   Agents de surface organiques, même conditionnés pour la vente au détail (à l'excl. des savons et des agents de surface anioniques, cationiques ou non ioniques)</v>
      </c>
      <c r="C3733">
        <v>24271</v>
      </c>
      <c r="D3733">
        <v>1</v>
      </c>
    </row>
    <row r="3734" spans="1:4" x14ac:dyDescent="0.25">
      <c r="A3734" t="str">
        <f>T("   340220")</f>
        <v xml:space="preserve">   340220</v>
      </c>
      <c r="B3734" t="s">
        <v>104</v>
      </c>
      <c r="C3734">
        <v>7922686</v>
      </c>
      <c r="D3734">
        <v>16676</v>
      </c>
    </row>
    <row r="3735" spans="1:4" x14ac:dyDescent="0.25">
      <c r="A3735" t="str">
        <f>T("   340290")</f>
        <v xml:space="preserve">   340290</v>
      </c>
      <c r="B3735" t="s">
        <v>105</v>
      </c>
      <c r="C3735">
        <v>2434268</v>
      </c>
      <c r="D3735">
        <v>8034</v>
      </c>
    </row>
    <row r="3736" spans="1:4" x14ac:dyDescent="0.25">
      <c r="A3736" t="str">
        <f>T("   340399")</f>
        <v xml:space="preserve">   340399</v>
      </c>
      <c r="B3736" t="s">
        <v>107</v>
      </c>
      <c r="C3736">
        <v>352907</v>
      </c>
      <c r="D3736">
        <v>446</v>
      </c>
    </row>
    <row r="3737" spans="1:4" x14ac:dyDescent="0.25">
      <c r="A3737" t="str">
        <f>T("   340540")</f>
        <v xml:space="preserve">   340540</v>
      </c>
      <c r="B3737" t="str">
        <f>T("   Pâtes, poudres et autres préparations à récurer, même sous forme de papier, ouates, feutres, nontissés, matière plastique ou caoutchouc alvéolaires, imprégnés, enduits ou recouverts de ces préparations")</f>
        <v xml:space="preserve">   Pâtes, poudres et autres préparations à récurer, même sous forme de papier, ouates, feutres, nontissés, matière plastique ou caoutchouc alvéolaires, imprégnés, enduits ou recouverts de ces préparations</v>
      </c>
      <c r="C3737">
        <v>1729766</v>
      </c>
      <c r="D3737">
        <v>5115</v>
      </c>
    </row>
    <row r="3738" spans="1:4" x14ac:dyDescent="0.25">
      <c r="A3738" t="str">
        <f>T("   340590")</f>
        <v xml:space="preserve">   340590</v>
      </c>
      <c r="B3738" t="str">
        <f>T("   Brillants pour verre ou métaux, même sous forme de papier, ouates, feutres, nontissés, matière plastique ou caoutchouc alvéolaires, imprégnés, enduits ou recouverts de ces préparations")</f>
        <v xml:space="preserve">   Brillants pour verre ou métaux, même sous forme de papier, ouates, feutres, nontissés, matière plastique ou caoutchouc alvéolaires, imprégnés, enduits ou recouverts de ces préparations</v>
      </c>
      <c r="C3738">
        <v>40014</v>
      </c>
      <c r="D3738">
        <v>1</v>
      </c>
    </row>
    <row r="3739" spans="1:4" x14ac:dyDescent="0.25">
      <c r="A3739" t="str">
        <f>T("   380590")</f>
        <v xml:space="preserve">   380590</v>
      </c>
      <c r="B3739" t="s">
        <v>119</v>
      </c>
      <c r="C3739">
        <v>537887</v>
      </c>
      <c r="D3739">
        <v>446</v>
      </c>
    </row>
    <row r="3740" spans="1:4" x14ac:dyDescent="0.25">
      <c r="A3740" t="str">
        <f>T("   380810")</f>
        <v xml:space="preserve">   380810</v>
      </c>
      <c r="B3740" t="str">
        <f>T("   Insecticides présentés dans des formes ou emballages de vente au détail ou à l'état de préparations ou sous forme d'articles")</f>
        <v xml:space="preserve">   Insecticides présentés dans des formes ou emballages de vente au détail ou à l'état de préparations ou sous forme d'articles</v>
      </c>
      <c r="C3740">
        <v>3631226974</v>
      </c>
      <c r="D3740">
        <v>372757</v>
      </c>
    </row>
    <row r="3741" spans="1:4" x14ac:dyDescent="0.25">
      <c r="A3741" t="str">
        <f>T("   380890")</f>
        <v xml:space="preserve">   380890</v>
      </c>
      <c r="B3741" t="str">
        <f>T("   Antirongeurs et autres produits phytosanitaires, présentés dans des formes ou emballages de vente au détail ou à l'état de préparations ou sous forme d'articles (à l'excl. des insecticides, des fongicides, des herbicides et des désinfectants)")</f>
        <v xml:space="preserve">   Antirongeurs et autres produits phytosanitaires, présentés dans des formes ou emballages de vente au détail ou à l'état de préparations ou sous forme d'articles (à l'excl. des insecticides, des fongicides, des herbicides et des désinfectants)</v>
      </c>
      <c r="C3741">
        <v>2000678</v>
      </c>
      <c r="D3741">
        <v>497</v>
      </c>
    </row>
    <row r="3742" spans="1:4" x14ac:dyDescent="0.25">
      <c r="A3742" t="str">
        <f>T("   381600")</f>
        <v xml:space="preserve">   381600</v>
      </c>
      <c r="B3742" t="str">
        <f>T("   Ciments, mortiers, bétons et compositions simil. réfractaires (à l'excl. des préparations à base de graphite ou d'autre carbone)")</f>
        <v xml:space="preserve">   Ciments, mortiers, bétons et compositions simil. réfractaires (à l'excl. des préparations à base de graphite ou d'autre carbone)</v>
      </c>
      <c r="C3742">
        <v>131159475</v>
      </c>
      <c r="D3742">
        <v>95209</v>
      </c>
    </row>
    <row r="3743" spans="1:4" x14ac:dyDescent="0.25">
      <c r="A3743" t="str">
        <f>T("   381900")</f>
        <v xml:space="preserve">   381900</v>
      </c>
      <c r="B3743" t="str">
        <f>T("   Liquides pour freins hydrauliques et autres liquides préparés pour transmissions hydrauliques, ne contenant ni huiles de pétrole ni huiles de minéraux bitumineux ou en contenant &lt; 70% en poids")</f>
        <v xml:space="preserve">   Liquides pour freins hydrauliques et autres liquides préparés pour transmissions hydrauliques, ne contenant ni huiles de pétrole ni huiles de minéraux bitumineux ou en contenant &lt; 70% en poids</v>
      </c>
      <c r="C3743">
        <v>1178576</v>
      </c>
      <c r="D3743">
        <v>9424</v>
      </c>
    </row>
    <row r="3744" spans="1:4" x14ac:dyDescent="0.25">
      <c r="A3744" t="str">
        <f>T("   382200")</f>
        <v xml:space="preserve">   382200</v>
      </c>
      <c r="B3744" t="s">
        <v>126</v>
      </c>
      <c r="C3744">
        <v>6606173</v>
      </c>
      <c r="D3744">
        <v>17000</v>
      </c>
    </row>
    <row r="3745" spans="1:4" x14ac:dyDescent="0.25">
      <c r="A3745" t="str">
        <f>T("   382440")</f>
        <v xml:space="preserve">   382440</v>
      </c>
      <c r="B3745" t="str">
        <f>T("   Additifs préparés pour ciments, mortiers ou bétons")</f>
        <v xml:space="preserve">   Additifs préparés pour ciments, mortiers ou bétons</v>
      </c>
      <c r="C3745">
        <v>366026</v>
      </c>
      <c r="D3745">
        <v>2360</v>
      </c>
    </row>
    <row r="3746" spans="1:4" x14ac:dyDescent="0.25">
      <c r="A3746" t="str">
        <f>T("   390311")</f>
        <v xml:space="preserve">   390311</v>
      </c>
      <c r="B3746" t="str">
        <f>T("   Polystyrène expansible, sous formes primaires")</f>
        <v xml:space="preserve">   Polystyrène expansible, sous formes primaires</v>
      </c>
      <c r="C3746">
        <v>360778</v>
      </c>
      <c r="D3746">
        <v>22</v>
      </c>
    </row>
    <row r="3747" spans="1:4" x14ac:dyDescent="0.25">
      <c r="A3747" t="str">
        <f>T("   390410")</f>
        <v xml:space="preserve">   390410</v>
      </c>
      <c r="B3747" t="str">
        <f>T("   Poly[chlorure de vinyle], sous formes primaires, non mélangé à d'autres substances")</f>
        <v xml:space="preserve">   Poly[chlorure de vinyle], sous formes primaires, non mélangé à d'autres substances</v>
      </c>
      <c r="C3747">
        <v>54312176</v>
      </c>
      <c r="D3747">
        <v>102918</v>
      </c>
    </row>
    <row r="3748" spans="1:4" x14ac:dyDescent="0.25">
      <c r="A3748" t="str">
        <f>T("   390521")</f>
        <v xml:space="preserve">   390521</v>
      </c>
      <c r="B3748" t="str">
        <f>T("   Copolymères d'acétate de vinyle, en dispersion aqueuse")</f>
        <v xml:space="preserve">   Copolymères d'acétate de vinyle, en dispersion aqueuse</v>
      </c>
      <c r="C3748">
        <v>100201171</v>
      </c>
      <c r="D3748">
        <v>124600</v>
      </c>
    </row>
    <row r="3749" spans="1:4" x14ac:dyDescent="0.25">
      <c r="A3749" t="str">
        <f>T("   391739")</f>
        <v xml:space="preserve">   391739</v>
      </c>
      <c r="B3749" t="str">
        <f>T("   TUBES ET TUYAUX SOUPLES, EN MATIÈRES PLASTIQUES, RENFORCÉS D'AUTRES MATIÈRES OU ASSOCIÉS À D'AUTRES MATIÈRES (À L'EXCL. DES PRODUITS POUVANT SUPPORTER UNE PRESSION &gt;= 27,6 MPA)")</f>
        <v xml:space="preserve">   TUBES ET TUYAUX SOUPLES, EN MATIÈRES PLASTIQUES, RENFORCÉS D'AUTRES MATIÈRES OU ASSOCIÉS À D'AUTRES MATIÈRES (À L'EXCL. DES PRODUITS POUVANT SUPPORTER UNE PRESSION &gt;= 27,6 MPA)</v>
      </c>
      <c r="C3749">
        <v>278783</v>
      </c>
      <c r="D3749">
        <v>89</v>
      </c>
    </row>
    <row r="3750" spans="1:4" x14ac:dyDescent="0.25">
      <c r="A3750" t="str">
        <f>T("   391890")</f>
        <v xml:space="preserve">   391890</v>
      </c>
      <c r="B3750" t="s">
        <v>132</v>
      </c>
      <c r="C3750">
        <v>107854</v>
      </c>
      <c r="D3750">
        <v>70</v>
      </c>
    </row>
    <row r="3751" spans="1:4" x14ac:dyDescent="0.25">
      <c r="A3751" t="str">
        <f>T("   392010")</f>
        <v xml:space="preserve">   392010</v>
      </c>
      <c r="B3751" t="s">
        <v>134</v>
      </c>
      <c r="C3751">
        <v>20540076</v>
      </c>
      <c r="D3751">
        <v>13038</v>
      </c>
    </row>
    <row r="3752" spans="1:4" x14ac:dyDescent="0.25">
      <c r="A3752" t="str">
        <f>T("   392210")</f>
        <v xml:space="preserve">   392210</v>
      </c>
      <c r="B3752" t="str">
        <f>T("   Baignoires, douches, éviers et lavabos, en matières plastiques")</f>
        <v xml:space="preserve">   Baignoires, douches, éviers et lavabos, en matières plastiques</v>
      </c>
      <c r="C3752">
        <v>6123385</v>
      </c>
      <c r="D3752">
        <v>2151</v>
      </c>
    </row>
    <row r="3753" spans="1:4" x14ac:dyDescent="0.25">
      <c r="A3753" t="str">
        <f>T("   392220")</f>
        <v xml:space="preserve">   392220</v>
      </c>
      <c r="B3753" t="str">
        <f>T("   Sièges et couvercles de cuvettes d'aisance, en matières plastiques")</f>
        <v xml:space="preserve">   Sièges et couvercles de cuvettes d'aisance, en matières plastiques</v>
      </c>
      <c r="C3753">
        <v>7861681</v>
      </c>
      <c r="D3753">
        <v>5932</v>
      </c>
    </row>
    <row r="3754" spans="1:4" x14ac:dyDescent="0.25">
      <c r="A3754" t="str">
        <f>T("   392290")</f>
        <v xml:space="preserve">   392290</v>
      </c>
      <c r="B3754" t="str">
        <f>T("   Bidets, cuvettes d'aisance, réservoirs de chasse et articles simil. pour usages sanitaires ou hygiéniques, en matières plastiques (à l'excl. des baignoires, des douches, d'éviers, des lavabos ainsi que des sièges et couvercles de cuvettes d'aisance)")</f>
        <v xml:space="preserve">   Bidets, cuvettes d'aisance, réservoirs de chasse et articles simil. pour usages sanitaires ou hygiéniques, en matières plastiques (à l'excl. des baignoires, des douches, d'éviers, des lavabos ainsi que des sièges et couvercles de cuvettes d'aisance)</v>
      </c>
      <c r="C3754">
        <v>2461162</v>
      </c>
      <c r="D3754">
        <v>285</v>
      </c>
    </row>
    <row r="3755" spans="1:4" x14ac:dyDescent="0.25">
      <c r="A3755" t="str">
        <f>T("   392310")</f>
        <v xml:space="preserve">   392310</v>
      </c>
      <c r="B3755" t="str">
        <f>T("   Boîtes, caisses, casiers et articles simil. pour le transport ou l'emballage, en matières plastiques")</f>
        <v xml:space="preserve">   Boîtes, caisses, casiers et articles simil. pour le transport ou l'emballage, en matières plastiques</v>
      </c>
      <c r="C3755">
        <v>2759152</v>
      </c>
      <c r="D3755">
        <v>230</v>
      </c>
    </row>
    <row r="3756" spans="1:4" x14ac:dyDescent="0.25">
      <c r="A3756" t="str">
        <f>T("   392329")</f>
        <v xml:space="preserve">   392329</v>
      </c>
      <c r="B3756" t="str">
        <f>T("   Sacs, sachets, pochettes et cornets, en matières plastiques (autres que les polymères de l'éthylène)")</f>
        <v xml:space="preserve">   Sacs, sachets, pochettes et cornets, en matières plastiques (autres que les polymères de l'éthylène)</v>
      </c>
      <c r="C3756">
        <v>691226</v>
      </c>
      <c r="D3756">
        <v>969</v>
      </c>
    </row>
    <row r="3757" spans="1:4" x14ac:dyDescent="0.25">
      <c r="A3757" t="str">
        <f>T("   392330")</f>
        <v xml:space="preserve">   392330</v>
      </c>
      <c r="B3757" t="str">
        <f>T("   Bonbonnes, bouteilles, flacons et articles simil. pour le transport ou l'emballage, en matières plastiques")</f>
        <v xml:space="preserve">   Bonbonnes, bouteilles, flacons et articles simil. pour le transport ou l'emballage, en matières plastiques</v>
      </c>
      <c r="C3757">
        <v>5248</v>
      </c>
      <c r="D3757">
        <v>2</v>
      </c>
    </row>
    <row r="3758" spans="1:4" x14ac:dyDescent="0.25">
      <c r="A3758" t="str">
        <f>T("   392350")</f>
        <v xml:space="preserve">   392350</v>
      </c>
      <c r="B3758" t="str">
        <f>T("   Bouchons, couvercles, capsules et autres dispositifs de fermeture, en matières plastiques")</f>
        <v xml:space="preserve">   Bouchons, couvercles, capsules et autres dispositifs de fermeture, en matières plastiques</v>
      </c>
      <c r="C3758">
        <v>201289688</v>
      </c>
      <c r="D3758">
        <v>63161</v>
      </c>
    </row>
    <row r="3759" spans="1:4" x14ac:dyDescent="0.25">
      <c r="A3759" t="str">
        <f>T("   392390")</f>
        <v xml:space="preserve">   392390</v>
      </c>
      <c r="B3759" t="s">
        <v>150</v>
      </c>
      <c r="C3759">
        <v>2967241</v>
      </c>
      <c r="D3759">
        <v>433</v>
      </c>
    </row>
    <row r="3760" spans="1:4" x14ac:dyDescent="0.25">
      <c r="A3760" t="str">
        <f>T("   392610")</f>
        <v xml:space="preserve">   392610</v>
      </c>
      <c r="B3760" t="str">
        <f>T("   Articles de bureau et articles scolaires, en matières plastiques, n.d.a.")</f>
        <v xml:space="preserve">   Articles de bureau et articles scolaires, en matières plastiques, n.d.a.</v>
      </c>
      <c r="C3760">
        <v>24927</v>
      </c>
      <c r="D3760">
        <v>48</v>
      </c>
    </row>
    <row r="3761" spans="1:4" x14ac:dyDescent="0.25">
      <c r="A3761" t="str">
        <f>T("   392620")</f>
        <v xml:space="preserve">   392620</v>
      </c>
      <c r="B3761" t="str">
        <f>T("   Vêtements et accessoires du vêtement, y.c. les gants, mitaines et moufles, fabriqués par couture ou collage à partir de feuilles en matières plastiques")</f>
        <v xml:space="preserve">   Vêtements et accessoires du vêtement, y.c. les gants, mitaines et moufles, fabriqués par couture ou collage à partir de feuilles en matières plastiques</v>
      </c>
      <c r="C3761">
        <v>254727</v>
      </c>
      <c r="D3761">
        <v>250</v>
      </c>
    </row>
    <row r="3762" spans="1:4" x14ac:dyDescent="0.25">
      <c r="A3762" t="str">
        <f>T("   392690")</f>
        <v xml:space="preserve">   392690</v>
      </c>
      <c r="B3762" t="str">
        <f>T("   Ouvrages en matières plastiques et ouvrages en autres matières du n° 3901 à 3914, n.d.a.")</f>
        <v xml:space="preserve">   Ouvrages en matières plastiques et ouvrages en autres matières du n° 3901 à 3914, n.d.a.</v>
      </c>
      <c r="C3762">
        <v>388026</v>
      </c>
      <c r="D3762">
        <v>1413</v>
      </c>
    </row>
    <row r="3763" spans="1:4" x14ac:dyDescent="0.25">
      <c r="A3763" t="str">
        <f>T("   400911")</f>
        <v xml:space="preserve">   400911</v>
      </c>
      <c r="B3763" t="str">
        <f>T("   Tubes et tuyaux en caoutchouc vulcanisé non durci, non renforcés à l'aide d'autres matières ni autrement associés à d'autres matières, sans accessoires")</f>
        <v xml:space="preserve">   Tubes et tuyaux en caoutchouc vulcanisé non durci, non renforcés à l'aide d'autres matières ni autrement associés à d'autres matières, sans accessoires</v>
      </c>
      <c r="C3763">
        <v>35422</v>
      </c>
      <c r="D3763">
        <v>38</v>
      </c>
    </row>
    <row r="3764" spans="1:4" x14ac:dyDescent="0.25">
      <c r="A3764" t="str">
        <f>T("   400921")</f>
        <v xml:space="preserve">   400921</v>
      </c>
      <c r="B3764" t="str">
        <f>T("   Tubes et tuyaux en caoutchouc vulcanisé non durci, renforcés seulement à l'aide de métal ou autrement associés seulement à du métal, sans accessoires")</f>
        <v xml:space="preserve">   Tubes et tuyaux en caoutchouc vulcanisé non durci, renforcés seulement à l'aide de métal ou autrement associés seulement à du métal, sans accessoires</v>
      </c>
      <c r="C3764">
        <v>884234</v>
      </c>
      <c r="D3764">
        <v>178</v>
      </c>
    </row>
    <row r="3765" spans="1:4" x14ac:dyDescent="0.25">
      <c r="A3765" t="str">
        <f>T("   401110")</f>
        <v xml:space="preserve">   401110</v>
      </c>
      <c r="B3765"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3765">
        <v>71903</v>
      </c>
      <c r="D3765">
        <v>25</v>
      </c>
    </row>
    <row r="3766" spans="1:4" x14ac:dyDescent="0.25">
      <c r="A3766" t="str">
        <f>T("   401211")</f>
        <v xml:space="preserve">   401211</v>
      </c>
      <c r="B3766" t="str">
        <f>T("   Pneumatiques rechapés, en caoutchouc, des types utilisés pour les voitures de tourisme, y.c. les voitures du type 'break' et les voitures de course")</f>
        <v xml:space="preserve">   Pneumatiques rechapés, en caoutchouc, des types utilisés pour les voitures de tourisme, y.c. les voitures du type 'break' et les voitures de course</v>
      </c>
      <c r="C3766">
        <v>63301224</v>
      </c>
      <c r="D3766">
        <v>158610</v>
      </c>
    </row>
    <row r="3767" spans="1:4" x14ac:dyDescent="0.25">
      <c r="A3767" t="str">
        <f>T("   401220")</f>
        <v xml:space="preserve">   401220</v>
      </c>
      <c r="B3767" t="str">
        <f>T("   Pneumatiques usagés, en caoutchouc")</f>
        <v xml:space="preserve">   Pneumatiques usagés, en caoutchouc</v>
      </c>
      <c r="C3767">
        <v>102933203</v>
      </c>
      <c r="D3767">
        <v>262781</v>
      </c>
    </row>
    <row r="3768" spans="1:4" x14ac:dyDescent="0.25">
      <c r="A3768" t="str">
        <f>T("   401290")</f>
        <v xml:space="preserve">   401290</v>
      </c>
      <c r="B3768" t="str">
        <f>T("   Bandages pleins ou creux [mi-pleins], bandes de roulement amovibles pour pneumatiques et flaps, en caoutchouc")</f>
        <v xml:space="preserve">   Bandages pleins ou creux [mi-pleins], bandes de roulement amovibles pour pneumatiques et flaps, en caoutchouc</v>
      </c>
      <c r="C3768">
        <v>11867192</v>
      </c>
      <c r="D3768">
        <v>25900</v>
      </c>
    </row>
    <row r="3769" spans="1:4" x14ac:dyDescent="0.25">
      <c r="A3769" t="str">
        <f>T("   401310")</f>
        <v xml:space="preserve">   401310</v>
      </c>
      <c r="B3769" t="str">
        <f>T("   Chambres à air, en caoutchouc, des types utilisés pour les voitures de tourisme [y.c. les voitures du type 'break' et les voitures de course], les autobus ou les camions")</f>
        <v xml:space="preserve">   Chambres à air, en caoutchouc, des types utilisés pour les voitures de tourisme [y.c. les voitures du type 'break' et les voitures de course], les autobus ou les camions</v>
      </c>
      <c r="C3769">
        <v>158250</v>
      </c>
      <c r="D3769">
        <v>3100</v>
      </c>
    </row>
    <row r="3770" spans="1:4" x14ac:dyDescent="0.25">
      <c r="A3770" t="str">
        <f>T("   401390")</f>
        <v xml:space="preserve">   401390</v>
      </c>
      <c r="B3770" t="str">
        <f>T("   Chambres à air, en caoutchouc (à l'excl. des chambres à air des types utilisés pour les voitures de tourisme, les voitures du type 'break', les voitures de course, les autobus, les camions et les bicyclettes)")</f>
        <v xml:space="preserve">   Chambres à air, en caoutchouc (à l'excl. des chambres à air des types utilisés pour les voitures de tourisme, les voitures du type 'break', les voitures de course, les autobus, les camions et les bicyclettes)</v>
      </c>
      <c r="C3770">
        <v>100362</v>
      </c>
      <c r="D3770">
        <v>4220</v>
      </c>
    </row>
    <row r="3771" spans="1:4" x14ac:dyDescent="0.25">
      <c r="A3771" t="str">
        <f>T("   420219")</f>
        <v xml:space="preserve">   420219</v>
      </c>
      <c r="B3771" t="s">
        <v>162</v>
      </c>
      <c r="C3771">
        <v>26364</v>
      </c>
      <c r="D3771">
        <v>10</v>
      </c>
    </row>
    <row r="3772" spans="1:4" x14ac:dyDescent="0.25">
      <c r="A3772" t="str">
        <f>T("   420229")</f>
        <v xml:space="preserve">   420229</v>
      </c>
      <c r="B3772"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3772">
        <v>2724941</v>
      </c>
      <c r="D3772">
        <v>850</v>
      </c>
    </row>
    <row r="3773" spans="1:4" x14ac:dyDescent="0.25">
      <c r="A3773" t="str">
        <f>T("   441219")</f>
        <v xml:space="preserve">   441219</v>
      </c>
      <c r="B3773" t="s">
        <v>183</v>
      </c>
      <c r="C3773">
        <v>4430000</v>
      </c>
      <c r="D3773">
        <v>18150</v>
      </c>
    </row>
    <row r="3774" spans="1:4" x14ac:dyDescent="0.25">
      <c r="A3774" t="str">
        <f>T("   441890")</f>
        <v xml:space="preserve">   441890</v>
      </c>
      <c r="B3774" t="s">
        <v>188</v>
      </c>
      <c r="C3774">
        <v>431622</v>
      </c>
      <c r="D3774">
        <v>1795</v>
      </c>
    </row>
    <row r="3775" spans="1:4" x14ac:dyDescent="0.25">
      <c r="A3775" t="str">
        <f>T("   442190")</f>
        <v xml:space="preserve">   442190</v>
      </c>
      <c r="B3775" t="str">
        <f>T("   Ouvrages, en bois, n.d.a.")</f>
        <v xml:space="preserve">   Ouvrages, en bois, n.d.a.</v>
      </c>
      <c r="C3775">
        <v>38702</v>
      </c>
      <c r="D3775">
        <v>1000</v>
      </c>
    </row>
    <row r="3776" spans="1:4" x14ac:dyDescent="0.25">
      <c r="A3776" t="str">
        <f>T("   480100")</f>
        <v xml:space="preserve">   480100</v>
      </c>
      <c r="B3776" t="str">
        <f>T("   Papier journal, en rouleaux d'une largeur &gt; 36 cm ou en feuilles de forme carrée ou rectangulaire dont au moins un coté &gt; 36 cm et l'autre &gt; 15 cm à l'état non plié")</f>
        <v xml:space="preserve">   Papier journal, en rouleaux d'une largeur &gt; 36 cm ou en feuilles de forme carrée ou rectangulaire dont au moins un coté &gt; 36 cm et l'autre &gt; 15 cm à l'état non plié</v>
      </c>
      <c r="C3776">
        <v>205323998</v>
      </c>
      <c r="D3776">
        <v>414405</v>
      </c>
    </row>
    <row r="3777" spans="1:4" x14ac:dyDescent="0.25">
      <c r="A3777" t="str">
        <f>T("   480255")</f>
        <v xml:space="preserve">   480255</v>
      </c>
      <c r="B3777" t="s">
        <v>193</v>
      </c>
      <c r="C3777">
        <v>2153517</v>
      </c>
      <c r="D3777">
        <v>4496</v>
      </c>
    </row>
    <row r="3778" spans="1:4" x14ac:dyDescent="0.25">
      <c r="A3778" t="str">
        <f>T("   480258")</f>
        <v xml:space="preserve">   480258</v>
      </c>
      <c r="B3778" t="s">
        <v>196</v>
      </c>
      <c r="C3778">
        <v>11735583</v>
      </c>
      <c r="D3778">
        <v>16503</v>
      </c>
    </row>
    <row r="3779" spans="1:4" x14ac:dyDescent="0.25">
      <c r="A3779" t="str">
        <f>T("   481810")</f>
        <v xml:space="preserve">   481810</v>
      </c>
      <c r="B3779" t="str">
        <f>T("   Papier hygiénique, en rouleaux d'une largeur &lt;= 36 cm")</f>
        <v xml:space="preserve">   Papier hygiénique, en rouleaux d'une largeur &lt;= 36 cm</v>
      </c>
      <c r="C3779">
        <v>13989330</v>
      </c>
      <c r="D3779">
        <v>18331</v>
      </c>
    </row>
    <row r="3780" spans="1:4" x14ac:dyDescent="0.25">
      <c r="A3780" t="str">
        <f>T("   481820")</f>
        <v xml:space="preserve">   481820</v>
      </c>
      <c r="B3780" t="str">
        <f>T("   Mouchoirs, serviettes à démaquiller et essuie-mains, en pâte à papier, papier, ouate de cellulose ou nappes de fibres de cellulose")</f>
        <v xml:space="preserve">   Mouchoirs, serviettes à démaquiller et essuie-mains, en pâte à papier, papier, ouate de cellulose ou nappes de fibres de cellulose</v>
      </c>
      <c r="C3780">
        <v>12150939</v>
      </c>
      <c r="D3780">
        <v>15923</v>
      </c>
    </row>
    <row r="3781" spans="1:4" x14ac:dyDescent="0.25">
      <c r="A3781" t="str">
        <f>T("   481830")</f>
        <v xml:space="preserve">   481830</v>
      </c>
      <c r="B3781" t="str">
        <f>T("   Nappes et serviettes de table, en pâte à papier, papier, ouate de cellulose ou nappes de fibres de cellulose")</f>
        <v xml:space="preserve">   Nappes et serviettes de table, en pâte à papier, papier, ouate de cellulose ou nappes de fibres de cellulose</v>
      </c>
      <c r="C3781">
        <v>156774</v>
      </c>
      <c r="D3781">
        <v>269</v>
      </c>
    </row>
    <row r="3782" spans="1:4" x14ac:dyDescent="0.25">
      <c r="A3782" t="str">
        <f>T("   481840")</f>
        <v xml:space="preserve">   481840</v>
      </c>
      <c r="B3782"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3782">
        <v>610698</v>
      </c>
      <c r="D3782">
        <v>945</v>
      </c>
    </row>
    <row r="3783" spans="1:4" x14ac:dyDescent="0.25">
      <c r="A3783" t="str">
        <f>T("   481910")</f>
        <v xml:space="preserve">   481910</v>
      </c>
      <c r="B3783" t="str">
        <f>T("   Boîtes et caisses en papier ou en carton ondulé")</f>
        <v xml:space="preserve">   Boîtes et caisses en papier ou en carton ondulé</v>
      </c>
      <c r="C3783">
        <v>76835</v>
      </c>
      <c r="D3783">
        <v>176</v>
      </c>
    </row>
    <row r="3784" spans="1:4" x14ac:dyDescent="0.25">
      <c r="A3784" t="str">
        <f>T("   481920")</f>
        <v xml:space="preserve">   481920</v>
      </c>
      <c r="B3784" t="str">
        <f>T("   Boîtes et cartonnages, pliants, en papier ou en carton non ondulé")</f>
        <v xml:space="preserve">   Boîtes et cartonnages, pliants, en papier ou en carton non ondulé</v>
      </c>
      <c r="C3784">
        <v>518266</v>
      </c>
      <c r="D3784">
        <v>6156</v>
      </c>
    </row>
    <row r="3785" spans="1:4" x14ac:dyDescent="0.25">
      <c r="A3785" t="str">
        <f>T("   481930")</f>
        <v xml:space="preserve">   481930</v>
      </c>
      <c r="B3785" t="str">
        <f>T("   Sacs, en papier, carton, ouate de cellulose ou nappes de fibres de cellulose, d'une largeur à la base &gt;= 40 cm")</f>
        <v xml:space="preserve">   Sacs, en papier, carton, ouate de cellulose ou nappes de fibres de cellulose, d'une largeur à la base &gt;= 40 cm</v>
      </c>
      <c r="C3785">
        <v>71062664</v>
      </c>
      <c r="D3785">
        <v>120520</v>
      </c>
    </row>
    <row r="3786" spans="1:4" x14ac:dyDescent="0.25">
      <c r="A3786" t="str">
        <f>T("   481940")</f>
        <v xml:space="preserve">   481940</v>
      </c>
      <c r="B3786" t="str">
        <f>T("   Sacs, sachets, pochettes et cornets, en papier, carton, ouate de cellulose ou nappes de fibres de cellulose (à l'excl. des pochettes pour disques et des sacs d'une largeur à la base &gt;= 40 cm)")</f>
        <v xml:space="preserve">   Sacs, sachets, pochettes et cornets, en papier, carton, ouate de cellulose ou nappes de fibres de cellulose (à l'excl. des pochettes pour disques et des sacs d'une largeur à la base &gt;= 40 cm)</v>
      </c>
      <c r="C3786">
        <v>569120</v>
      </c>
      <c r="D3786">
        <v>573</v>
      </c>
    </row>
    <row r="3787" spans="1:4" x14ac:dyDescent="0.25">
      <c r="A3787" t="str">
        <f>T("   481950")</f>
        <v xml:space="preserve">   481950</v>
      </c>
      <c r="B3787" t="s">
        <v>218</v>
      </c>
      <c r="C3787">
        <v>110202</v>
      </c>
      <c r="D3787">
        <v>43</v>
      </c>
    </row>
    <row r="3788" spans="1:4" x14ac:dyDescent="0.25">
      <c r="A3788" t="str">
        <f>T("   481960")</f>
        <v xml:space="preserve">   481960</v>
      </c>
      <c r="B3788" t="str">
        <f>T("   Cartonnages de bureau, de magasin ou simil., rigides (à l'excl. des emballages)")</f>
        <v xml:space="preserve">   Cartonnages de bureau, de magasin ou simil., rigides (à l'excl. des emballages)</v>
      </c>
      <c r="C3788">
        <v>44408</v>
      </c>
      <c r="D3788">
        <v>222</v>
      </c>
    </row>
    <row r="3789" spans="1:4" x14ac:dyDescent="0.25">
      <c r="A3789" t="str">
        <f>T("   482030")</f>
        <v xml:space="preserve">   482030</v>
      </c>
      <c r="B3789" t="str">
        <f>T("   Classeurs, reliures (autres que les couvertures pour livres), chemises et couvertures à dossiers, en papier ou en carton")</f>
        <v xml:space="preserve">   Classeurs, reliures (autres que les couvertures pour livres), chemises et couvertures à dossiers, en papier ou en carton</v>
      </c>
      <c r="C3789">
        <v>2875729</v>
      </c>
      <c r="D3789">
        <v>10583</v>
      </c>
    </row>
    <row r="3790" spans="1:4" x14ac:dyDescent="0.25">
      <c r="A3790" t="str">
        <f>T("   482110")</f>
        <v xml:space="preserve">   482110</v>
      </c>
      <c r="B3790" t="str">
        <f>T("   ÉTIQUETTES DE TOUS GENRES, EN PAPIER OU EN CARTON, IMPRIMÉES")</f>
        <v xml:space="preserve">   ÉTIQUETTES DE TOUS GENRES, EN PAPIER OU EN CARTON, IMPRIMÉES</v>
      </c>
      <c r="C3790">
        <v>471656</v>
      </c>
      <c r="D3790">
        <v>180</v>
      </c>
    </row>
    <row r="3791" spans="1:4" x14ac:dyDescent="0.25">
      <c r="A3791" t="str">
        <f>T("   482390")</f>
        <v xml:space="preserve">   482390</v>
      </c>
      <c r="B3791" t="s">
        <v>220</v>
      </c>
      <c r="C3791">
        <v>162557</v>
      </c>
      <c r="D3791">
        <v>150</v>
      </c>
    </row>
    <row r="3792" spans="1:4" x14ac:dyDescent="0.25">
      <c r="A3792" t="str">
        <f>T("   490199")</f>
        <v xml:space="preserve">   490199</v>
      </c>
      <c r="B3792"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3792">
        <v>12719801</v>
      </c>
      <c r="D3792">
        <v>12563</v>
      </c>
    </row>
    <row r="3793" spans="1:4" x14ac:dyDescent="0.25">
      <c r="A3793" t="str">
        <f>T("   491000")</f>
        <v xml:space="preserve">   491000</v>
      </c>
      <c r="B3793" t="str">
        <f>T("   Calendriers de tous genres, imprimés, y.c. les blocs de calendriers à effeuiller")</f>
        <v xml:space="preserve">   Calendriers de tous genres, imprimés, y.c. les blocs de calendriers à effeuiller</v>
      </c>
      <c r="C3793">
        <v>7216</v>
      </c>
      <c r="D3793">
        <v>3</v>
      </c>
    </row>
    <row r="3794" spans="1:4" x14ac:dyDescent="0.25">
      <c r="A3794" t="str">
        <f>T("   491110")</f>
        <v xml:space="preserve">   491110</v>
      </c>
      <c r="B3794" t="str">
        <f>T("   Imprimés publicitaires, catalogues commerciaux et simil.")</f>
        <v xml:space="preserve">   Imprimés publicitaires, catalogues commerciaux et simil.</v>
      </c>
      <c r="C3794">
        <v>1615751</v>
      </c>
      <c r="D3794">
        <v>2515</v>
      </c>
    </row>
    <row r="3795" spans="1:4" x14ac:dyDescent="0.25">
      <c r="A3795" t="str">
        <f>T("   491199")</f>
        <v xml:space="preserve">   491199</v>
      </c>
      <c r="B3795" t="str">
        <f>T("   Imprimés, n.d.a.")</f>
        <v xml:space="preserve">   Imprimés, n.d.a.</v>
      </c>
      <c r="C3795">
        <v>2552341</v>
      </c>
      <c r="D3795">
        <v>1137</v>
      </c>
    </row>
    <row r="3796" spans="1:4" x14ac:dyDescent="0.25">
      <c r="A3796" t="str">
        <f>T("   520859")</f>
        <v xml:space="preserve">   520859</v>
      </c>
      <c r="B3796" t="str">
        <f>T("   TISSUS DE COTON, IMPRIMÉS, CONTENANT &gt;= 85% EN POIDS DE COTON, D'UN POIDS &lt;= 200 G/M² (À L'EXCL. DES TISSUS À ARMURE TOILE)")</f>
        <v xml:space="preserve">   TISSUS DE COTON, IMPRIMÉS, CONTENANT &gt;= 85% EN POIDS DE COTON, D'UN POIDS &lt;= 200 G/M² (À L'EXCL. DES TISSUS À ARMURE TOILE)</v>
      </c>
      <c r="C3796">
        <v>203867</v>
      </c>
      <c r="D3796">
        <v>80</v>
      </c>
    </row>
    <row r="3797" spans="1:4" x14ac:dyDescent="0.25">
      <c r="A3797" t="str">
        <f>T("   560110")</f>
        <v xml:space="preserve">   560110</v>
      </c>
      <c r="B3797" t="str">
        <f>T("   Serviettes et tampons hygiéniques, couches pour bébés et articles hygiéniques simil., en ouates")</f>
        <v xml:space="preserve">   Serviettes et tampons hygiéniques, couches pour bébés et articles hygiéniques simil., en ouates</v>
      </c>
      <c r="C3797">
        <v>2369328</v>
      </c>
      <c r="D3797">
        <v>21369</v>
      </c>
    </row>
    <row r="3798" spans="1:4" x14ac:dyDescent="0.25">
      <c r="A3798" t="str">
        <f>T("   570500")</f>
        <v xml:space="preserve">   570500</v>
      </c>
      <c r="B3798" t="str">
        <f>T("   Tapis et autres revêtements de sol en matières textiles, même confectionnés (à l'excl. à points noués ou enroulés, tissés, touffetés ou en feutre)")</f>
        <v xml:space="preserve">   Tapis et autres revêtements de sol en matières textiles, même confectionnés (à l'excl. à points noués ou enroulés, tissés, touffetés ou en feutre)</v>
      </c>
      <c r="C3798">
        <v>4630509</v>
      </c>
      <c r="D3798">
        <v>8134</v>
      </c>
    </row>
    <row r="3799" spans="1:4" x14ac:dyDescent="0.25">
      <c r="A3799" t="str">
        <f>T("   610910")</f>
        <v xml:space="preserve">   610910</v>
      </c>
      <c r="B3799" t="str">
        <f>T("   T-shirts et maillots de corps, en bonneterie, de coton,")</f>
        <v xml:space="preserve">   T-shirts et maillots de corps, en bonneterie, de coton,</v>
      </c>
      <c r="C3799">
        <v>169894</v>
      </c>
      <c r="D3799">
        <v>325</v>
      </c>
    </row>
    <row r="3800" spans="1:4" x14ac:dyDescent="0.25">
      <c r="A3800" t="str">
        <f>T("   610990")</f>
        <v xml:space="preserve">   610990</v>
      </c>
      <c r="B3800" t="str">
        <f>T("   T-shirts et maillots de corps, en bonneterie, de matières textiles (sauf de coton)")</f>
        <v xml:space="preserve">   T-shirts et maillots de corps, en bonneterie, de matières textiles (sauf de coton)</v>
      </c>
      <c r="C3800">
        <v>4528496</v>
      </c>
      <c r="D3800">
        <v>704</v>
      </c>
    </row>
    <row r="3801" spans="1:4" x14ac:dyDescent="0.25">
      <c r="A3801" t="str">
        <f>T("   611490")</f>
        <v xml:space="preserve">   611490</v>
      </c>
      <c r="B3801" t="str">
        <f>T("   Vêtements spéciaux destinés à des fins professionnelles, sportives ou autres n.d.a., en bonneterie, de matières textiles (sauf de laine, poils fins, coton, fibres synthétiques ou artificielles)")</f>
        <v xml:space="preserve">   Vêtements spéciaux destinés à des fins professionnelles, sportives ou autres n.d.a., en bonneterie, de matières textiles (sauf de laine, poils fins, coton, fibres synthétiques ou artificielles)</v>
      </c>
      <c r="C3801">
        <v>2630000</v>
      </c>
      <c r="D3801">
        <v>2010</v>
      </c>
    </row>
    <row r="3802" spans="1:4" x14ac:dyDescent="0.25">
      <c r="A3802" t="str">
        <f>T("   620439")</f>
        <v xml:space="preserve">   620439</v>
      </c>
      <c r="B3802" t="str">
        <f>T("   Vestes de matières textiles, pour femmes ou fillettes (autres que laine, poils fins, coton ou fibres synthétiques, autres qu'en bonneterie et sauf anoraks et articles simil.)")</f>
        <v xml:space="preserve">   Vestes de matières textiles, pour femmes ou fillettes (autres que laine, poils fins, coton ou fibres synthétiques, autres qu'en bonneterie et sauf anoraks et articles simil.)</v>
      </c>
      <c r="C3802">
        <v>1651840</v>
      </c>
      <c r="D3802">
        <v>500</v>
      </c>
    </row>
    <row r="3803" spans="1:4" x14ac:dyDescent="0.25">
      <c r="A3803" t="str">
        <f>T("   620449")</f>
        <v xml:space="preserve">   620449</v>
      </c>
      <c r="B3803" t="str">
        <f>T("   Robes de matières textiles, pour femmes ou fillettes (autres que laine, poils fins, coton, fibres synthétiques ou artificielles, autres qu'en bonneterie et sauf combinaisons et fonds de robes)")</f>
        <v xml:space="preserve">   Robes de matières textiles, pour femmes ou fillettes (autres que laine, poils fins, coton, fibres synthétiques ou artificielles, autres qu'en bonneterie et sauf combinaisons et fonds de robes)</v>
      </c>
      <c r="C3803">
        <v>1447158</v>
      </c>
      <c r="D3803">
        <v>800</v>
      </c>
    </row>
    <row r="3804" spans="1:4" x14ac:dyDescent="0.25">
      <c r="A3804" t="str">
        <f>T("   620469")</f>
        <v xml:space="preserve">   620469</v>
      </c>
      <c r="B3804" t="s">
        <v>267</v>
      </c>
      <c r="C3804">
        <v>3423518</v>
      </c>
      <c r="D3804">
        <v>1000</v>
      </c>
    </row>
    <row r="3805" spans="1:4" x14ac:dyDescent="0.25">
      <c r="A3805" t="str">
        <f>T("   620690")</f>
        <v xml:space="preserve">   620690</v>
      </c>
      <c r="B3805" t="s">
        <v>268</v>
      </c>
      <c r="C3805">
        <v>13275407</v>
      </c>
      <c r="D3805">
        <v>1744</v>
      </c>
    </row>
    <row r="3806" spans="1:4" x14ac:dyDescent="0.25">
      <c r="A3806" t="str">
        <f>T("   620799")</f>
        <v xml:space="preserve">   620799</v>
      </c>
      <c r="B3806" t="str">
        <f>T("   GILETS DE CORPS, PEIGNOIRS DE BAIN, ROBES DE CHAMBRE ET ARTICLES SIMIL., DE MATIÈRES TEXTILES, POUR HOMMES OU GARÇONNETS (AUTRES QUE DE COTON ET AUTRES QU'EN BONNETERIE ET SAUF SLIPS ET CALEÇONS, CHEMISES DE NUIT ET PYJAMAS)")</f>
        <v xml:space="preserve">   GILETS DE CORPS, PEIGNOIRS DE BAIN, ROBES DE CHAMBRE ET ARTICLES SIMIL., DE MATIÈRES TEXTILES, POUR HOMMES OU GARÇONNETS (AUTRES QUE DE COTON ET AUTRES QU'EN BONNETERIE ET SAUF SLIPS ET CALEÇONS, CHEMISES DE NUIT ET PYJAMAS)</v>
      </c>
      <c r="C3806">
        <v>302398</v>
      </c>
      <c r="D3806">
        <v>270</v>
      </c>
    </row>
    <row r="3807" spans="1:4" x14ac:dyDescent="0.25">
      <c r="A3807" t="str">
        <f>T("   620829")</f>
        <v xml:space="preserve">   620829</v>
      </c>
      <c r="B3807" t="str">
        <f>T("   Chemises de nuit et pyjamas, de matières textiles, pour femmes ou fillettes (autres que de coton, fibres synthétiques ou artificielles, autres qu'en bonneterie et sauf gilets de corps, chemises de jour et déshabillés)")</f>
        <v xml:space="preserve">   Chemises de nuit et pyjamas, de matières textiles, pour femmes ou fillettes (autres que de coton, fibres synthétiques ou artificielles, autres qu'en bonneterie et sauf gilets de corps, chemises de jour et déshabillés)</v>
      </c>
      <c r="C3807">
        <v>8726726</v>
      </c>
      <c r="D3807">
        <v>1850</v>
      </c>
    </row>
    <row r="3808" spans="1:4" x14ac:dyDescent="0.25">
      <c r="A3808" t="str">
        <f>T("   621040")</f>
        <v xml:space="preserve">   621040</v>
      </c>
      <c r="B3808" t="s">
        <v>271</v>
      </c>
      <c r="C3808">
        <v>3548583</v>
      </c>
      <c r="D3808">
        <v>18933</v>
      </c>
    </row>
    <row r="3809" spans="1:4" x14ac:dyDescent="0.25">
      <c r="A3809" t="str">
        <f>T("   621210")</f>
        <v xml:space="preserve">   621210</v>
      </c>
      <c r="B3809" t="str">
        <f>T("   Soutiens-gorge et bustiers en tous types de matières textiles, même élastiques et même en bonneterie")</f>
        <v xml:space="preserve">   Soutiens-gorge et bustiers en tous types de matières textiles, même élastiques et même en bonneterie</v>
      </c>
      <c r="C3809">
        <v>814895</v>
      </c>
      <c r="D3809">
        <v>450</v>
      </c>
    </row>
    <row r="3810" spans="1:4" x14ac:dyDescent="0.25">
      <c r="A3810" t="str">
        <f>T("   630229")</f>
        <v xml:space="preserve">   630229</v>
      </c>
      <c r="B3810" t="str">
        <f>T("   Linge de lit, de matières textiles, imprimé (autre que de coton, fibres synthétiques ou artificielles, autres qu'en bonneterie)")</f>
        <v xml:space="preserve">   Linge de lit, de matières textiles, imprimé (autre que de coton, fibres synthétiques ou artificielles, autres qu'en bonneterie)</v>
      </c>
      <c r="C3810">
        <v>8069846</v>
      </c>
      <c r="D3810">
        <v>5380</v>
      </c>
    </row>
    <row r="3811" spans="1:4" x14ac:dyDescent="0.25">
      <c r="A3811" t="str">
        <f>T("   630491")</f>
        <v xml:space="preserve">   630491</v>
      </c>
      <c r="B3811" t="s">
        <v>275</v>
      </c>
      <c r="C3811">
        <v>5409155</v>
      </c>
      <c r="D3811">
        <v>1110</v>
      </c>
    </row>
    <row r="3812" spans="1:4" x14ac:dyDescent="0.25">
      <c r="A3812" t="str">
        <f>T("   630629")</f>
        <v xml:space="preserve">   630629</v>
      </c>
      <c r="B3812" t="str">
        <f>T("   Tentes de matières textiles (autres que de coton ou fibres synthétiques et sauf paravents)")</f>
        <v xml:space="preserve">   Tentes de matières textiles (autres que de coton ou fibres synthétiques et sauf paravents)</v>
      </c>
      <c r="C3812">
        <v>9645236</v>
      </c>
      <c r="D3812">
        <v>3852</v>
      </c>
    </row>
    <row r="3813" spans="1:4" x14ac:dyDescent="0.25">
      <c r="A3813" t="str">
        <f>T("   630900")</f>
        <v xml:space="preserve">   630900</v>
      </c>
      <c r="B3813" t="s">
        <v>278</v>
      </c>
      <c r="C3813">
        <v>642684993</v>
      </c>
      <c r="D3813">
        <v>1352235</v>
      </c>
    </row>
    <row r="3814" spans="1:4" x14ac:dyDescent="0.25">
      <c r="A3814" t="str">
        <f>T("   640399")</f>
        <v xml:space="preserve">   640399</v>
      </c>
      <c r="B3814" t="s">
        <v>287</v>
      </c>
      <c r="C3814">
        <v>233779</v>
      </c>
      <c r="D3814">
        <v>170</v>
      </c>
    </row>
    <row r="3815" spans="1:4" x14ac:dyDescent="0.25">
      <c r="A3815" t="str">
        <f>T("   640590")</f>
        <v xml:space="preserve">   640590</v>
      </c>
      <c r="B3815" t="s">
        <v>289</v>
      </c>
      <c r="C3815">
        <v>4900021</v>
      </c>
      <c r="D3815">
        <v>7000</v>
      </c>
    </row>
    <row r="3816" spans="1:4" x14ac:dyDescent="0.25">
      <c r="A3816" t="str">
        <f>T("   650590")</f>
        <v xml:space="preserve">   650590</v>
      </c>
      <c r="B3816" t="s">
        <v>290</v>
      </c>
      <c r="C3816">
        <v>69782</v>
      </c>
      <c r="D3816">
        <v>47</v>
      </c>
    </row>
    <row r="3817" spans="1:4" x14ac:dyDescent="0.25">
      <c r="A3817" t="str">
        <f>T("   650699")</f>
        <v xml:space="preserve">   650699</v>
      </c>
      <c r="B3817" t="str">
        <f>T("   Chapeaux et autres coiffures, même garnis, n.d.a.")</f>
        <v xml:space="preserve">   Chapeaux et autres coiffures, même garnis, n.d.a.</v>
      </c>
      <c r="C3817">
        <v>9184</v>
      </c>
      <c r="D3817">
        <v>4</v>
      </c>
    </row>
    <row r="3818" spans="1:4" x14ac:dyDescent="0.25">
      <c r="A3818" t="str">
        <f>T("   670290")</f>
        <v xml:space="preserve">   670290</v>
      </c>
      <c r="B3818" t="str">
        <f>T("   Fleurs, feuillages et fruits artificiels, y.c. leurs parties; articles confectionnés en fleurs, feuillages ou fruits artificiels fabriqués par ligature, collage, emboîtage ou procédés simil. (autres qu'en matière plastique)")</f>
        <v xml:space="preserve">   Fleurs, feuillages et fruits artificiels, y.c. leurs parties; articles confectionnés en fleurs, feuillages ou fruits artificiels fabriqués par ligature, collage, emboîtage ou procédés simil. (autres qu'en matière plastique)</v>
      </c>
      <c r="C3818">
        <v>324563</v>
      </c>
      <c r="D3818">
        <v>378</v>
      </c>
    </row>
    <row r="3819" spans="1:4" x14ac:dyDescent="0.25">
      <c r="A3819" t="str">
        <f>T("   680210")</f>
        <v xml:space="preserve">   680210</v>
      </c>
      <c r="B3819" t="s">
        <v>292</v>
      </c>
      <c r="C3819">
        <v>2971970</v>
      </c>
      <c r="D3819">
        <v>48000</v>
      </c>
    </row>
    <row r="3820" spans="1:4" x14ac:dyDescent="0.25">
      <c r="A3820" t="str">
        <f>T("   680221")</f>
        <v xml:space="preserve">   680221</v>
      </c>
      <c r="B3820" t="s">
        <v>293</v>
      </c>
      <c r="C3820">
        <v>10094568</v>
      </c>
      <c r="D3820">
        <v>36484</v>
      </c>
    </row>
    <row r="3821" spans="1:4" x14ac:dyDescent="0.25">
      <c r="A3821" t="str">
        <f>T("   680291")</f>
        <v xml:space="preserve">   680291</v>
      </c>
      <c r="B3821" t="s">
        <v>295</v>
      </c>
      <c r="C3821">
        <v>8096207</v>
      </c>
      <c r="D3821">
        <v>45393</v>
      </c>
    </row>
    <row r="3822" spans="1:4" x14ac:dyDescent="0.25">
      <c r="A3822" t="str">
        <f>T("   680293")</f>
        <v xml:space="preserve">   680293</v>
      </c>
      <c r="B3822" t="str">
        <f>T("   GRANIT DE N'IMPORTE QUELLE FORME, POLI, DÉCORÉ OU AUTREMENT TRAVAILLÉ (SAUF OUVRAGES DU 6802.10; BIJOUX DE FANTAISIE; PENDULES ET ARTICLES D'HORLOGERIE, APPAREILS D'ÉCLAIRAGE ET LEURS PARTIES; OBJETS D'ART ORIGINAUX SCULPTÉS)")</f>
        <v xml:space="preserve">   GRANIT DE N'IMPORTE QUELLE FORME, POLI, DÉCORÉ OU AUTREMENT TRAVAILLÉ (SAUF OUVRAGES DU 6802.10; BIJOUX DE FANTAISIE; PENDULES ET ARTICLES D'HORLOGERIE, APPAREILS D'ÉCLAIRAGE ET LEURS PARTIES; OBJETS D'ART ORIGINAUX SCULPTÉS)</v>
      </c>
      <c r="C3822">
        <v>6442183</v>
      </c>
      <c r="D3822">
        <v>963</v>
      </c>
    </row>
    <row r="3823" spans="1:4" x14ac:dyDescent="0.25">
      <c r="A3823" t="str">
        <f>T("   680421")</f>
        <v xml:space="preserve">   680421</v>
      </c>
      <c r="B3823" t="s">
        <v>297</v>
      </c>
      <c r="C3823">
        <v>488034</v>
      </c>
      <c r="D3823">
        <v>12</v>
      </c>
    </row>
    <row r="3824" spans="1:4" x14ac:dyDescent="0.25">
      <c r="A3824" t="str">
        <f>T("   680422")</f>
        <v xml:space="preserve">   680422</v>
      </c>
      <c r="B3824" t="s">
        <v>298</v>
      </c>
      <c r="C3824">
        <v>282719</v>
      </c>
      <c r="D3824">
        <v>1135</v>
      </c>
    </row>
    <row r="3825" spans="1:4" x14ac:dyDescent="0.25">
      <c r="A3825" t="str">
        <f>T("   680690")</f>
        <v xml:space="preserve">   680690</v>
      </c>
      <c r="B3825" t="s">
        <v>300</v>
      </c>
      <c r="C3825">
        <v>116761</v>
      </c>
      <c r="D3825">
        <v>24</v>
      </c>
    </row>
    <row r="3826" spans="1:4" x14ac:dyDescent="0.25">
      <c r="A3826" t="str">
        <f>T("   680710")</f>
        <v xml:space="preserve">   680710</v>
      </c>
      <c r="B3826" t="str">
        <f>T("   Ouvrages en asphalte ou en produits simil., p.ex. poix de pétrole, brais, en rouleaux")</f>
        <v xml:space="preserve">   Ouvrages en asphalte ou en produits simil., p.ex. poix de pétrole, brais, en rouleaux</v>
      </c>
      <c r="C3826">
        <v>23556607</v>
      </c>
      <c r="D3826">
        <v>80644</v>
      </c>
    </row>
    <row r="3827" spans="1:4" x14ac:dyDescent="0.25">
      <c r="A3827" t="str">
        <f>T("   681120")</f>
        <v xml:space="preserve">   681120</v>
      </c>
      <c r="B3827" t="str">
        <f>T("   Plaques, panneaux, carreaux, tuiles et articles simil., en amiante-ciment, cellulose-ciment ou simil. (sauf plaques ondulées)")</f>
        <v xml:space="preserve">   Plaques, panneaux, carreaux, tuiles et articles simil., en amiante-ciment, cellulose-ciment ou simil. (sauf plaques ondulées)</v>
      </c>
      <c r="C3827">
        <v>11979366</v>
      </c>
      <c r="D3827">
        <v>194107</v>
      </c>
    </row>
    <row r="3828" spans="1:4" x14ac:dyDescent="0.25">
      <c r="A3828" t="str">
        <f>T("   690220")</f>
        <v xml:space="preserve">   690220</v>
      </c>
      <c r="B3828" t="s">
        <v>304</v>
      </c>
      <c r="C3828">
        <v>61334883</v>
      </c>
      <c r="D3828">
        <v>50108</v>
      </c>
    </row>
    <row r="3829" spans="1:4" x14ac:dyDescent="0.25">
      <c r="A3829" t="str">
        <f>T("   690510")</f>
        <v xml:space="preserve">   690510</v>
      </c>
      <c r="B3829" t="str">
        <f>T("   Tuiles")</f>
        <v xml:space="preserve">   Tuiles</v>
      </c>
      <c r="C3829">
        <v>38616121</v>
      </c>
      <c r="D3829">
        <v>344334</v>
      </c>
    </row>
    <row r="3830" spans="1:4" x14ac:dyDescent="0.25">
      <c r="A3830" t="str">
        <f>T("   690790")</f>
        <v xml:space="preserve">   690790</v>
      </c>
      <c r="B3830" t="s">
        <v>310</v>
      </c>
      <c r="C3830">
        <v>101329752</v>
      </c>
      <c r="D3830">
        <v>894389</v>
      </c>
    </row>
    <row r="3831" spans="1:4" x14ac:dyDescent="0.25">
      <c r="A3831" t="str">
        <f>T("   690810")</f>
        <v xml:space="preserve">   690810</v>
      </c>
      <c r="B3831" t="str">
        <f>T("   Carreaux, cubes, dés et simil., en céramique, pour mosaïques, vernissés ou émaillés, même de forme autre que carrée ou rectangulaire, dont la plus grande surface peut être inscrite dans un carré de côté &lt; 7 cm, même sur support")</f>
        <v xml:space="preserve">   Carreaux, cubes, dés et simil., en céramique, pour mosaïques, vernissés ou émaillés, même de forme autre que carrée ou rectangulaire, dont la plus grande surface peut être inscrite dans un carré de côté &lt; 7 cm, même sur support</v>
      </c>
      <c r="C3831">
        <v>39686236</v>
      </c>
      <c r="D3831">
        <v>175000</v>
      </c>
    </row>
    <row r="3832" spans="1:4" x14ac:dyDescent="0.25">
      <c r="A3832" t="str">
        <f>T("   690890")</f>
        <v xml:space="preserve">   690890</v>
      </c>
      <c r="B3832" t="s">
        <v>311</v>
      </c>
      <c r="C3832">
        <v>587284065</v>
      </c>
      <c r="D3832">
        <v>4750489</v>
      </c>
    </row>
    <row r="3833" spans="1:4" x14ac:dyDescent="0.25">
      <c r="A3833" t="str">
        <f>T("   691010")</f>
        <v xml:space="preserve">   691010</v>
      </c>
      <c r="B3833" t="s">
        <v>312</v>
      </c>
      <c r="C3833">
        <v>77046923</v>
      </c>
      <c r="D3833">
        <v>37654</v>
      </c>
    </row>
    <row r="3834" spans="1:4" x14ac:dyDescent="0.25">
      <c r="A3834" t="str">
        <f>T("   691090")</f>
        <v xml:space="preserve">   691090</v>
      </c>
      <c r="B3834" t="s">
        <v>313</v>
      </c>
      <c r="C3834">
        <v>6203111</v>
      </c>
      <c r="D3834">
        <v>19434</v>
      </c>
    </row>
    <row r="3835" spans="1:4" x14ac:dyDescent="0.25">
      <c r="A3835" t="str">
        <f>T("   700992")</f>
        <v xml:space="preserve">   700992</v>
      </c>
      <c r="B3835" t="str">
        <f>T("   Miroirs, en verre encadrés (sauf miroirs rétroviseurs pour véhicules)")</f>
        <v xml:space="preserve">   Miroirs, en verre encadrés (sauf miroirs rétroviseurs pour véhicules)</v>
      </c>
      <c r="C3835">
        <v>59037</v>
      </c>
      <c r="D3835">
        <v>435</v>
      </c>
    </row>
    <row r="3836" spans="1:4" x14ac:dyDescent="0.25">
      <c r="A3836" t="str">
        <f>T("   701090")</f>
        <v xml:space="preserve">   701090</v>
      </c>
      <c r="B3836" t="s">
        <v>323</v>
      </c>
      <c r="C3836">
        <v>476141034</v>
      </c>
      <c r="D3836">
        <v>916961</v>
      </c>
    </row>
    <row r="3837" spans="1:4" x14ac:dyDescent="0.25">
      <c r="A3837" t="str">
        <f>T("   701329")</f>
        <v xml:space="preserve">   701329</v>
      </c>
      <c r="B3837" t="str">
        <f>T("   Verres à boire (autres qu'en vitrocérame, autres qu'en cristal au plomb)")</f>
        <v xml:space="preserve">   Verres à boire (autres qu'en vitrocérame, autres qu'en cristal au plomb)</v>
      </c>
      <c r="C3837">
        <v>185637</v>
      </c>
      <c r="D3837">
        <v>2440</v>
      </c>
    </row>
    <row r="3838" spans="1:4" x14ac:dyDescent="0.25">
      <c r="A3838" t="str">
        <f>T("   701399")</f>
        <v xml:space="preserve">   701399</v>
      </c>
      <c r="B3838" t="s">
        <v>332</v>
      </c>
      <c r="C3838">
        <v>426374</v>
      </c>
      <c r="D3838">
        <v>435</v>
      </c>
    </row>
    <row r="3839" spans="1:4" x14ac:dyDescent="0.25">
      <c r="A3839" t="str">
        <f>T("   701610")</f>
        <v xml:space="preserve">   701610</v>
      </c>
      <c r="B3839" t="str">
        <f>T("   Cubes, dés et autre verrerie même sur support, pour mosaïques ou décorations simil. (sauf panneaux et autres motifs décoratifs prêts à l'emploi en cubes de verre, pour mosaïques)")</f>
        <v xml:space="preserve">   Cubes, dés et autre verrerie même sur support, pour mosaïques ou décorations simil. (sauf panneaux et autres motifs décoratifs prêts à l'emploi en cubes de verre, pour mosaïques)</v>
      </c>
      <c r="C3839">
        <v>7159147</v>
      </c>
      <c r="D3839">
        <v>23814</v>
      </c>
    </row>
    <row r="3840" spans="1:4" x14ac:dyDescent="0.25">
      <c r="A3840" t="str">
        <f>T("   701990")</f>
        <v xml:space="preserve">   701990</v>
      </c>
      <c r="B3840" t="s">
        <v>340</v>
      </c>
      <c r="C3840">
        <v>460471</v>
      </c>
      <c r="D3840">
        <v>8461</v>
      </c>
    </row>
    <row r="3841" spans="1:4" x14ac:dyDescent="0.25">
      <c r="A3841" t="str">
        <f>T("   711790")</f>
        <v xml:space="preserve">   711790</v>
      </c>
      <c r="B3841" t="str">
        <f>T("   Bijouterie de fantaisie (autre qu'en métaux communs, même argentés, dorés ou platinés)")</f>
        <v xml:space="preserve">   Bijouterie de fantaisie (autre qu'en métaux communs, même argentés, dorés ou platinés)</v>
      </c>
      <c r="C3841">
        <v>100664</v>
      </c>
      <c r="D3841">
        <v>300</v>
      </c>
    </row>
    <row r="3842" spans="1:4" x14ac:dyDescent="0.25">
      <c r="A3842" t="str">
        <f>T("   721632")</f>
        <v xml:space="preserve">   721632</v>
      </c>
      <c r="B3842" t="str">
        <f>T("   PROFILÉS EN I, EN FER OU EN ACIERS NON-ALLIÉS, SIMPL. LAMINÉS OU FILÉS À CHAUD, D'UNE HAUTEUR &gt;= 80 MM")</f>
        <v xml:space="preserve">   PROFILÉS EN I, EN FER OU EN ACIERS NON-ALLIÉS, SIMPL. LAMINÉS OU FILÉS À CHAUD, D'UNE HAUTEUR &gt;= 80 MM</v>
      </c>
      <c r="C3842">
        <v>361434</v>
      </c>
      <c r="D3842">
        <v>500</v>
      </c>
    </row>
    <row r="3843" spans="1:4" x14ac:dyDescent="0.25">
      <c r="A3843" t="str">
        <f>T("   730210")</f>
        <v xml:space="preserve">   730210</v>
      </c>
      <c r="B3843" t="str">
        <f>T("   Rails en fonte, fer ou acier pour voies ferrées ( à l'excl. des contre-rails)")</f>
        <v xml:space="preserve">   Rails en fonte, fer ou acier pour voies ferrées ( à l'excl. des contre-rails)</v>
      </c>
      <c r="C3843">
        <v>3413616</v>
      </c>
      <c r="D3843">
        <v>1500</v>
      </c>
    </row>
    <row r="3844" spans="1:4" x14ac:dyDescent="0.25">
      <c r="A3844" t="str">
        <f>T("   730890")</f>
        <v xml:space="preserve">   730890</v>
      </c>
      <c r="B3844" t="s">
        <v>355</v>
      </c>
      <c r="C3844">
        <v>20438402</v>
      </c>
      <c r="D3844">
        <v>3600</v>
      </c>
    </row>
    <row r="3845" spans="1:4" x14ac:dyDescent="0.25">
      <c r="A3845" t="str">
        <f>T("   730900")</f>
        <v xml:space="preserve">   730900</v>
      </c>
      <c r="B3845" t="s">
        <v>356</v>
      </c>
      <c r="C3845">
        <v>20991</v>
      </c>
      <c r="D3845">
        <v>87</v>
      </c>
    </row>
    <row r="3846" spans="1:4" x14ac:dyDescent="0.25">
      <c r="A3846" t="str">
        <f>T("   731450")</f>
        <v xml:space="preserve">   731450</v>
      </c>
      <c r="B3846" t="str">
        <f>T("   Tôles et bandes déployées en fer ou en acier")</f>
        <v xml:space="preserve">   Tôles et bandes déployées en fer ou en acier</v>
      </c>
      <c r="C3846">
        <v>26216000</v>
      </c>
      <c r="D3846">
        <v>101110</v>
      </c>
    </row>
    <row r="3847" spans="1:4" x14ac:dyDescent="0.25">
      <c r="A3847" t="str">
        <f>T("   731815")</f>
        <v xml:space="preserve">   731815</v>
      </c>
      <c r="B3847" t="s">
        <v>359</v>
      </c>
      <c r="C3847">
        <v>184325</v>
      </c>
      <c r="D3847">
        <v>214</v>
      </c>
    </row>
    <row r="3848" spans="1:4" x14ac:dyDescent="0.25">
      <c r="A3848" t="str">
        <f>T("   731819")</f>
        <v xml:space="preserve">   731819</v>
      </c>
      <c r="B3848" t="str">
        <f>T("   Articles de boulonnerie et de visserie, filetés, en fonte, fer ou acier, n.d.a.")</f>
        <v xml:space="preserve">   Articles de boulonnerie et de visserie, filetés, en fonte, fer ou acier, n.d.a.</v>
      </c>
      <c r="C3848">
        <v>1028105</v>
      </c>
      <c r="D3848">
        <v>315</v>
      </c>
    </row>
    <row r="3849" spans="1:4" x14ac:dyDescent="0.25">
      <c r="A3849" t="str">
        <f>T("   732393")</f>
        <v xml:space="preserve">   732393</v>
      </c>
      <c r="B3849" t="s">
        <v>366</v>
      </c>
      <c r="C3849">
        <v>22416762</v>
      </c>
      <c r="D3849">
        <v>9210</v>
      </c>
    </row>
    <row r="3850" spans="1:4" x14ac:dyDescent="0.25">
      <c r="A3850" t="str">
        <f>T("   732399")</f>
        <v xml:space="preserve">   732399</v>
      </c>
      <c r="B3850" t="s">
        <v>368</v>
      </c>
      <c r="C3850">
        <v>2905496</v>
      </c>
      <c r="D3850">
        <v>4600</v>
      </c>
    </row>
    <row r="3851" spans="1:4" x14ac:dyDescent="0.25">
      <c r="A3851" t="str">
        <f>T("   732410")</f>
        <v xml:space="preserve">   732410</v>
      </c>
      <c r="B3851" t="str">
        <f>T("   ÉVIERS ET LAVABOS EN ACIER INOXYDABLE")</f>
        <v xml:space="preserve">   ÉVIERS ET LAVABOS EN ACIER INOXYDABLE</v>
      </c>
      <c r="C3851">
        <v>6107644</v>
      </c>
      <c r="D3851">
        <v>3000</v>
      </c>
    </row>
    <row r="3852" spans="1:4" x14ac:dyDescent="0.25">
      <c r="A3852" t="str">
        <f>T("   732421")</f>
        <v xml:space="preserve">   732421</v>
      </c>
      <c r="B3852" t="str">
        <f>T("   Baignoires en fonte, également émaillées")</f>
        <v xml:space="preserve">   Baignoires en fonte, également émaillées</v>
      </c>
      <c r="C3852">
        <v>2139742</v>
      </c>
      <c r="D3852">
        <v>768</v>
      </c>
    </row>
    <row r="3853" spans="1:4" x14ac:dyDescent="0.25">
      <c r="A3853" t="str">
        <f>T("   732429")</f>
        <v xml:space="preserve">   732429</v>
      </c>
      <c r="B3853" t="str">
        <f>T("   Baignoires en tôle d'acier")</f>
        <v xml:space="preserve">   Baignoires en tôle d'acier</v>
      </c>
      <c r="C3853">
        <v>3020971</v>
      </c>
      <c r="D3853">
        <v>734</v>
      </c>
    </row>
    <row r="3854" spans="1:4" x14ac:dyDescent="0.25">
      <c r="A3854" t="str">
        <f>T("   732490")</f>
        <v xml:space="preserve">   732490</v>
      </c>
      <c r="B3854" t="s">
        <v>369</v>
      </c>
      <c r="C3854">
        <v>12909</v>
      </c>
      <c r="D3854">
        <v>85</v>
      </c>
    </row>
    <row r="3855" spans="1:4" x14ac:dyDescent="0.25">
      <c r="A3855" t="str">
        <f>T("   732690")</f>
        <v xml:space="preserve">   732690</v>
      </c>
      <c r="B3855"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3855">
        <v>20023083</v>
      </c>
      <c r="D3855">
        <v>9888</v>
      </c>
    </row>
    <row r="3856" spans="1:4" x14ac:dyDescent="0.25">
      <c r="A3856" t="str">
        <f>T("   761090")</f>
        <v xml:space="preserve">   761090</v>
      </c>
      <c r="B3856" t="str">
        <f>T("   Constructions et parties de constructions, en aluminium, n.d.a., ainsi que tôles, barres, profilés, tubes, tuyaux et simil., en aluminium, n.d.a; (sauf constructions préfabriquées du n° 9406, portes, fenêtres et leurs cadres, chambranles et seuils)")</f>
        <v xml:space="preserve">   Constructions et parties de constructions, en aluminium, n.d.a., ainsi que tôles, barres, profilés, tubes, tuyaux et simil., en aluminium, n.d.a; (sauf constructions préfabriquées du n° 9406, portes, fenêtres et leurs cadres, chambranles et seuils)</v>
      </c>
      <c r="C3856">
        <v>37390</v>
      </c>
      <c r="D3856">
        <v>155</v>
      </c>
    </row>
    <row r="3857" spans="1:4" x14ac:dyDescent="0.25">
      <c r="A3857" t="str">
        <f>T("   820291")</f>
        <v xml:space="preserve">   820291</v>
      </c>
      <c r="B3857" t="str">
        <f>T("   LAMES DE SCIES DROITES EN METAUX COMMUNS, POUR LE TRAVAIL DES METAUX")</f>
        <v xml:space="preserve">   LAMES DE SCIES DROITES EN METAUX COMMUNS, POUR LE TRAVAIL DES METAUX</v>
      </c>
      <c r="C3857">
        <v>64284</v>
      </c>
      <c r="D3857">
        <v>60</v>
      </c>
    </row>
    <row r="3858" spans="1:4" x14ac:dyDescent="0.25">
      <c r="A3858" t="str">
        <f>T("   820559")</f>
        <v xml:space="preserve">   820559</v>
      </c>
      <c r="B3858" t="str">
        <f>T("   Outils à main, y.c. -les diamants de vitrier-, en métaux communs, n.d.a.")</f>
        <v xml:space="preserve">   Outils à main, y.c. -les diamants de vitrier-, en métaux communs, n.d.a.</v>
      </c>
      <c r="C3858">
        <v>202075</v>
      </c>
      <c r="D3858">
        <v>100</v>
      </c>
    </row>
    <row r="3859" spans="1:4" x14ac:dyDescent="0.25">
      <c r="A3859" t="str">
        <f>T("   820790")</f>
        <v xml:space="preserve">   820790</v>
      </c>
      <c r="B3859" t="str">
        <f>T("   Outils interchangeables pour outillage à main, mécanique ou non, ou pour machines-outils, n.d.a.")</f>
        <v xml:space="preserve">   Outils interchangeables pour outillage à main, mécanique ou non, ou pour machines-outils, n.d.a.</v>
      </c>
      <c r="C3859">
        <v>1922619</v>
      </c>
      <c r="D3859">
        <v>100</v>
      </c>
    </row>
    <row r="3860" spans="1:4" x14ac:dyDescent="0.25">
      <c r="A3860" t="str">
        <f>T("   830110")</f>
        <v xml:space="preserve">   830110</v>
      </c>
      <c r="B3860" t="str">
        <f>T("   Cadenas, en métaux communs")</f>
        <v xml:space="preserve">   Cadenas, en métaux communs</v>
      </c>
      <c r="C3860">
        <v>758946</v>
      </c>
      <c r="D3860">
        <v>54</v>
      </c>
    </row>
    <row r="3861" spans="1:4" x14ac:dyDescent="0.25">
      <c r="A3861" t="str">
        <f>T("   830140")</f>
        <v xml:space="preserve">   830140</v>
      </c>
      <c r="B3861" t="str">
        <f>T("   Serrures et verrous, en métaux communs (autres que cadenas et serrures des types utilisés pour véhicules automobiles ou meubles)")</f>
        <v xml:space="preserve">   Serrures et verrous, en métaux communs (autres que cadenas et serrures des types utilisés pour véhicules automobiles ou meubles)</v>
      </c>
      <c r="C3861">
        <v>4478239</v>
      </c>
      <c r="D3861">
        <v>800</v>
      </c>
    </row>
    <row r="3862" spans="1:4" x14ac:dyDescent="0.25">
      <c r="A3862" t="str">
        <f>T("   830210")</f>
        <v xml:space="preserve">   830210</v>
      </c>
      <c r="B3862" t="str">
        <f>T("   Charnières de tous genres, y.c. les paumelles et pentures, en métaux communs")</f>
        <v xml:space="preserve">   Charnières de tous genres, y.c. les paumelles et pentures, en métaux communs</v>
      </c>
      <c r="C3862">
        <v>3943632</v>
      </c>
      <c r="D3862">
        <v>700</v>
      </c>
    </row>
    <row r="3863" spans="1:4" x14ac:dyDescent="0.25">
      <c r="A3863" t="str">
        <f>T("   830300")</f>
        <v xml:space="preserve">   830300</v>
      </c>
      <c r="B3863" t="str">
        <f>T("   Coffres-forts, portes blindées et compartiments pour chambres fortes, coffres et cassettes de sûreté et articles simil., en métaux communs")</f>
        <v xml:space="preserve">   Coffres-forts, portes blindées et compartiments pour chambres fortes, coffres et cassettes de sûreté et articles simil., en métaux communs</v>
      </c>
      <c r="C3863">
        <v>4705201</v>
      </c>
      <c r="D3863">
        <v>1329</v>
      </c>
    </row>
    <row r="3864" spans="1:4" x14ac:dyDescent="0.25">
      <c r="A3864" t="str">
        <f>T("   830910")</f>
        <v xml:space="preserve">   830910</v>
      </c>
      <c r="B3864" t="str">
        <f>T("   Bouchons-couronnes en métaux communs")</f>
        <v xml:space="preserve">   Bouchons-couronnes en métaux communs</v>
      </c>
      <c r="C3864">
        <v>2624</v>
      </c>
      <c r="D3864">
        <v>4</v>
      </c>
    </row>
    <row r="3865" spans="1:4" x14ac:dyDescent="0.25">
      <c r="A3865" t="str">
        <f>T("   840790")</f>
        <v xml:space="preserve">   840790</v>
      </c>
      <c r="B3865" t="s">
        <v>391</v>
      </c>
      <c r="C3865">
        <v>4300000</v>
      </c>
      <c r="D3865">
        <v>13000</v>
      </c>
    </row>
    <row r="3866" spans="1:4" x14ac:dyDescent="0.25">
      <c r="A3866" t="str">
        <f>T("   841381")</f>
        <v xml:space="preserve">   841381</v>
      </c>
      <c r="B3866" t="s">
        <v>397</v>
      </c>
      <c r="C3866">
        <v>4234825</v>
      </c>
      <c r="D3866">
        <v>1313</v>
      </c>
    </row>
    <row r="3867" spans="1:4" x14ac:dyDescent="0.25">
      <c r="A3867" t="str">
        <f>T("   841382")</f>
        <v xml:space="preserve">   841382</v>
      </c>
      <c r="B3867" t="str">
        <f>T("   Elévateurs à liquides (à l'excl. des pompes)")</f>
        <v xml:space="preserve">   Elévateurs à liquides (à l'excl. des pompes)</v>
      </c>
      <c r="C3867">
        <v>505968</v>
      </c>
      <c r="D3867">
        <v>132</v>
      </c>
    </row>
    <row r="3868" spans="1:4" x14ac:dyDescent="0.25">
      <c r="A3868" t="str">
        <f>T("   841392")</f>
        <v xml:space="preserve">   841392</v>
      </c>
      <c r="B3868" t="str">
        <f>T("   Parties d'élévateurs à liquides, n.d.a.")</f>
        <v xml:space="preserve">   Parties d'élévateurs à liquides, n.d.a.</v>
      </c>
      <c r="C3868">
        <v>889000</v>
      </c>
      <c r="D3868">
        <v>300</v>
      </c>
    </row>
    <row r="3869" spans="1:4" x14ac:dyDescent="0.25">
      <c r="A3869" t="str">
        <f>T("   841440")</f>
        <v xml:space="preserve">   841440</v>
      </c>
      <c r="B3869" t="str">
        <f>T("   Compresseurs d'air montés sur châssis à roues et remorquables")</f>
        <v xml:space="preserve">   Compresseurs d'air montés sur châssis à roues et remorquables</v>
      </c>
      <c r="C3869">
        <v>650000</v>
      </c>
      <c r="D3869">
        <v>6600</v>
      </c>
    </row>
    <row r="3870" spans="1:4" x14ac:dyDescent="0.25">
      <c r="A3870" t="str">
        <f>T("   841451")</f>
        <v xml:space="preserve">   841451</v>
      </c>
      <c r="B3870" t="str">
        <f>T("   Ventilateurs de table, de sol, muraux, plafonniers, de toitures ou de fenêtres, à moteur électrique incorporé, d'une puissance &lt;= 125 W")</f>
        <v xml:space="preserve">   Ventilateurs de table, de sol, muraux, plafonniers, de toitures ou de fenêtres, à moteur électrique incorporé, d'une puissance &lt;= 125 W</v>
      </c>
      <c r="C3870">
        <v>1205000</v>
      </c>
      <c r="D3870">
        <v>500</v>
      </c>
    </row>
    <row r="3871" spans="1:4" x14ac:dyDescent="0.25">
      <c r="A3871" t="str">
        <f>T("   841490")</f>
        <v xml:space="preserve">   841490</v>
      </c>
      <c r="B3871" t="str">
        <f>T("   Parties de pompes à air ou à vide, de compresseurs d'air ou d'autres gaz et de ventilateurs, de hottes aspirantes à extraction ou à recyclage, à ventilateur incorporé, n.d.a.")</f>
        <v xml:space="preserve">   Parties de pompes à air ou à vide, de compresseurs d'air ou d'autres gaz et de ventilateurs, de hottes aspirantes à extraction ou à recyclage, à ventilateur incorporé, n.d.a.</v>
      </c>
      <c r="C3871">
        <v>242705</v>
      </c>
      <c r="D3871">
        <v>8</v>
      </c>
    </row>
    <row r="3872" spans="1:4" x14ac:dyDescent="0.25">
      <c r="A3872" t="str">
        <f>T("   841620")</f>
        <v xml:space="preserve">   841620</v>
      </c>
      <c r="B3872" t="str">
        <f>T("   Brûleurs pour l'alimentation des foyers à combustibles solides pulvérisés ou à gaz, y.c. les brûleurs mixtes")</f>
        <v xml:space="preserve">   Brûleurs pour l'alimentation des foyers à combustibles solides pulvérisés ou à gaz, y.c. les brûleurs mixtes</v>
      </c>
      <c r="C3872">
        <v>452612</v>
      </c>
      <c r="D3872">
        <v>830</v>
      </c>
    </row>
    <row r="3873" spans="1:4" x14ac:dyDescent="0.25">
      <c r="A3873" t="str">
        <f>T("   841720")</f>
        <v xml:space="preserve">   841720</v>
      </c>
      <c r="B3873" t="str">
        <f>T("   Fours non-électriques, de boulangerie, de pâtisserie ou de biscuiterie")</f>
        <v xml:space="preserve">   Fours non-électriques, de boulangerie, de pâtisserie ou de biscuiterie</v>
      </c>
      <c r="C3873">
        <v>15446546</v>
      </c>
      <c r="D3873">
        <v>1100</v>
      </c>
    </row>
    <row r="3874" spans="1:4" x14ac:dyDescent="0.25">
      <c r="A3874" t="str">
        <f>T("   841790")</f>
        <v xml:space="preserve">   841790</v>
      </c>
      <c r="B3874" t="str">
        <f>T("   Parties de fours industriels ou de laboratoire non-électriques, y.c. d'incinérateurs, n.d.a.")</f>
        <v xml:space="preserve">   Parties de fours industriels ou de laboratoire non-électriques, y.c. d'incinérateurs, n.d.a.</v>
      </c>
      <c r="C3874">
        <v>3293575</v>
      </c>
      <c r="D3874">
        <v>1052</v>
      </c>
    </row>
    <row r="3875" spans="1:4" x14ac:dyDescent="0.25">
      <c r="A3875" t="str">
        <f>T("   841810")</f>
        <v xml:space="preserve">   841810</v>
      </c>
      <c r="B3875" t="str">
        <f>T("   Réfrigérateurs et congélateurs-conservateurs combinés, avec portes extérieures séparées")</f>
        <v xml:space="preserve">   Réfrigérateurs et congélateurs-conservateurs combinés, avec portes extérieures séparées</v>
      </c>
      <c r="C3875">
        <v>350000</v>
      </c>
      <c r="D3875">
        <v>2000</v>
      </c>
    </row>
    <row r="3876" spans="1:4" x14ac:dyDescent="0.25">
      <c r="A3876" t="str">
        <f>T("   841821")</f>
        <v xml:space="preserve">   841821</v>
      </c>
      <c r="B3876" t="str">
        <f>T("   Réfrigérateurs ménagers à compression")</f>
        <v xml:space="preserve">   Réfrigérateurs ménagers à compression</v>
      </c>
      <c r="C3876">
        <v>1160027</v>
      </c>
      <c r="D3876">
        <v>13000</v>
      </c>
    </row>
    <row r="3877" spans="1:4" x14ac:dyDescent="0.25">
      <c r="A3877" t="str">
        <f>T("   841829")</f>
        <v xml:space="preserve">   841829</v>
      </c>
      <c r="B3877" t="str">
        <f>T("   Réfrigérateurs ménagers à absorption, non-électriques")</f>
        <v xml:space="preserve">   Réfrigérateurs ménagers à absorption, non-électriques</v>
      </c>
      <c r="C3877">
        <v>742956</v>
      </c>
      <c r="D3877">
        <v>36585</v>
      </c>
    </row>
    <row r="3878" spans="1:4" x14ac:dyDescent="0.25">
      <c r="A3878" t="str">
        <f>T("   842121")</f>
        <v xml:space="preserve">   842121</v>
      </c>
      <c r="B3878" t="str">
        <f>T("   Appareils pour la filtration ou l'épuration des eaux")</f>
        <v xml:space="preserve">   Appareils pour la filtration ou l'épuration des eaux</v>
      </c>
      <c r="C3878">
        <v>4824940</v>
      </c>
      <c r="D3878">
        <v>1473</v>
      </c>
    </row>
    <row r="3879" spans="1:4" x14ac:dyDescent="0.25">
      <c r="A3879" t="str">
        <f>T("   842240")</f>
        <v xml:space="preserve">   842240</v>
      </c>
      <c r="B3879" t="s">
        <v>406</v>
      </c>
      <c r="C3879">
        <v>120697</v>
      </c>
      <c r="D3879">
        <v>600</v>
      </c>
    </row>
    <row r="3880" spans="1:4" x14ac:dyDescent="0.25">
      <c r="A3880" t="str">
        <f>T("   842810")</f>
        <v xml:space="preserve">   842810</v>
      </c>
      <c r="B3880" t="str">
        <f>T("   Ascenseurs et monte-charge")</f>
        <v xml:space="preserve">   Ascenseurs et monte-charge</v>
      </c>
      <c r="C3880">
        <v>25991069</v>
      </c>
      <c r="D3880">
        <v>9560</v>
      </c>
    </row>
    <row r="3881" spans="1:4" x14ac:dyDescent="0.25">
      <c r="A3881" t="str">
        <f>T("   842919")</f>
        <v xml:space="preserve">   842919</v>
      </c>
      <c r="B3881" t="str">
        <f>T("   Bouteurs 'bulldozers' et bouteurs biais 'angledozers', sur roues")</f>
        <v xml:space="preserve">   Bouteurs 'bulldozers' et bouteurs biais 'angledozers', sur roues</v>
      </c>
      <c r="C3881">
        <v>1246849</v>
      </c>
      <c r="D3881">
        <v>22000</v>
      </c>
    </row>
    <row r="3882" spans="1:4" x14ac:dyDescent="0.25">
      <c r="A3882" t="str">
        <f>T("   842920")</f>
        <v xml:space="preserve">   842920</v>
      </c>
      <c r="B3882" t="str">
        <f>T("   Niveleuses autopropulsées")</f>
        <v xml:space="preserve">   Niveleuses autopropulsées</v>
      </c>
      <c r="C3882">
        <v>7573200</v>
      </c>
      <c r="D3882">
        <v>15000</v>
      </c>
    </row>
    <row r="3883" spans="1:4" x14ac:dyDescent="0.25">
      <c r="A3883" t="str">
        <f>T("   842940")</f>
        <v xml:space="preserve">   842940</v>
      </c>
      <c r="B3883" t="str">
        <f>T("   Rouleaux compresseurs et autres compacteuses, autopropulsés")</f>
        <v xml:space="preserve">   Rouleaux compresseurs et autres compacteuses, autopropulsés</v>
      </c>
      <c r="C3883">
        <v>2205272</v>
      </c>
      <c r="D3883">
        <v>921</v>
      </c>
    </row>
    <row r="3884" spans="1:4" x14ac:dyDescent="0.25">
      <c r="A3884" t="str">
        <f>T("   842959")</f>
        <v xml:space="preserve">   842959</v>
      </c>
      <c r="B3884"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3884">
        <v>8972837</v>
      </c>
      <c r="D3884">
        <v>83000</v>
      </c>
    </row>
    <row r="3885" spans="1:4" x14ac:dyDescent="0.25">
      <c r="A3885" t="str">
        <f>T("   843149")</f>
        <v xml:space="preserve">   843149</v>
      </c>
      <c r="B3885" t="str">
        <f>T("   Parties de machines et appareils du n° 8426, 8429 ou 8430, n.d.a.")</f>
        <v xml:space="preserve">   Parties de machines et appareils du n° 8426, 8429 ou 8430, n.d.a.</v>
      </c>
      <c r="C3885">
        <v>144416</v>
      </c>
      <c r="D3885">
        <v>2</v>
      </c>
    </row>
    <row r="3886" spans="1:4" x14ac:dyDescent="0.25">
      <c r="A3886" t="str">
        <f>T("   843810")</f>
        <v xml:space="preserve">   843810</v>
      </c>
      <c r="B3886" t="s">
        <v>419</v>
      </c>
      <c r="C3886">
        <v>10793166</v>
      </c>
      <c r="D3886">
        <v>2022</v>
      </c>
    </row>
    <row r="3887" spans="1:4" x14ac:dyDescent="0.25">
      <c r="A3887" t="str">
        <f>T("   844319")</f>
        <v xml:space="preserve">   844319</v>
      </c>
      <c r="B3887" t="s">
        <v>423</v>
      </c>
      <c r="C3887">
        <v>28371123</v>
      </c>
      <c r="D3887">
        <v>31104</v>
      </c>
    </row>
    <row r="3888" spans="1:4" x14ac:dyDescent="0.25">
      <c r="A3888" t="str">
        <f>T("   844359")</f>
        <v xml:space="preserve">   844359</v>
      </c>
      <c r="B3888" t="s">
        <v>424</v>
      </c>
      <c r="C3888">
        <v>7216872</v>
      </c>
      <c r="D3888">
        <v>15294</v>
      </c>
    </row>
    <row r="3889" spans="1:4" x14ac:dyDescent="0.25">
      <c r="A3889" t="str">
        <f>T("   844360")</f>
        <v xml:space="preserve">   844360</v>
      </c>
      <c r="B3889" t="str">
        <f>T("   Machines auxiliaires pour l'impression fabriquées spécialement pour les machines et appareils à imprimer, pour placer, transporter ou travailler autrement les feuilles de papier ou les bandes continues de papier")</f>
        <v xml:space="preserve">   Machines auxiliaires pour l'impression fabriquées spécialement pour les machines et appareils à imprimer, pour placer, transporter ou travailler autrement les feuilles de papier ou les bandes continues de papier</v>
      </c>
      <c r="C3889">
        <v>12463352</v>
      </c>
      <c r="D3889">
        <v>18102</v>
      </c>
    </row>
    <row r="3890" spans="1:4" x14ac:dyDescent="0.25">
      <c r="A3890" t="str">
        <f>T("   844842")</f>
        <v xml:space="preserve">   844842</v>
      </c>
      <c r="B3890" t="str">
        <f>T("   PEIGNÉS, LISSES ET CADRES DE LISSES POUR MÉTIERS À TISSER")</f>
        <v xml:space="preserve">   PEIGNÉS, LISSES ET CADRES DE LISSES POUR MÉTIERS À TISSER</v>
      </c>
      <c r="C3890">
        <v>929495</v>
      </c>
      <c r="D3890">
        <v>1100</v>
      </c>
    </row>
    <row r="3891" spans="1:4" x14ac:dyDescent="0.25">
      <c r="A3891" t="str">
        <f>T("   845290")</f>
        <v xml:space="preserve">   845290</v>
      </c>
      <c r="B3891" t="str">
        <f>T("   Parties de machines à coudre, n.d.a.")</f>
        <v xml:space="preserve">   Parties de machines à coudre, n.d.a.</v>
      </c>
      <c r="C3891">
        <v>434618</v>
      </c>
      <c r="D3891">
        <v>150</v>
      </c>
    </row>
    <row r="3892" spans="1:4" x14ac:dyDescent="0.25">
      <c r="A3892" t="str">
        <f>T("   846490")</f>
        <v xml:space="preserve">   846490</v>
      </c>
      <c r="B3892" t="s">
        <v>431</v>
      </c>
      <c r="C3892">
        <v>2018390</v>
      </c>
      <c r="D3892">
        <v>623</v>
      </c>
    </row>
    <row r="3893" spans="1:4" x14ac:dyDescent="0.25">
      <c r="A3893" t="str">
        <f>T("   846599")</f>
        <v xml:space="preserve">   846599</v>
      </c>
      <c r="B3893" t="s">
        <v>434</v>
      </c>
      <c r="C3893">
        <v>1600000</v>
      </c>
      <c r="D3893">
        <v>3100</v>
      </c>
    </row>
    <row r="3894" spans="1:4" x14ac:dyDescent="0.25">
      <c r="A3894" t="str">
        <f>T("   846691")</f>
        <v xml:space="preserve">   846691</v>
      </c>
      <c r="B3894" t="str">
        <f>T("   Parties et accessoires pour machines-outils pour le travail de la pierre, des produits céramiques, du béton, etc., y.c. le travail à froid du verre, n.d.a.")</f>
        <v xml:space="preserve">   Parties et accessoires pour machines-outils pour le travail de la pierre, des produits céramiques, du béton, etc., y.c. le travail à froid du verre, n.d.a.</v>
      </c>
      <c r="C3894">
        <v>11232003</v>
      </c>
      <c r="D3894">
        <v>782</v>
      </c>
    </row>
    <row r="3895" spans="1:4" x14ac:dyDescent="0.25">
      <c r="A3895" t="str">
        <f>T("   847110")</f>
        <v xml:space="preserve">   847110</v>
      </c>
      <c r="B3895" t="str">
        <f>T("   Machines automatiques de traitement de l'information, analogiques ou hybrides")</f>
        <v xml:space="preserve">   Machines automatiques de traitement de l'information, analogiques ou hybrides</v>
      </c>
      <c r="C3895">
        <v>45001</v>
      </c>
      <c r="D3895">
        <v>500</v>
      </c>
    </row>
    <row r="3896" spans="1:4" x14ac:dyDescent="0.25">
      <c r="A3896" t="str">
        <f>T("   847141")</f>
        <v xml:space="preserve">   847141</v>
      </c>
      <c r="B3896" t="s">
        <v>436</v>
      </c>
      <c r="C3896">
        <v>158086</v>
      </c>
      <c r="D3896">
        <v>164</v>
      </c>
    </row>
    <row r="3897" spans="1:4" x14ac:dyDescent="0.25">
      <c r="A3897" t="str">
        <f>T("   847149")</f>
        <v xml:space="preserve">   847149</v>
      </c>
      <c r="B3897" t="s">
        <v>437</v>
      </c>
      <c r="C3897">
        <v>9419586</v>
      </c>
      <c r="D3897">
        <v>4950</v>
      </c>
    </row>
    <row r="3898" spans="1:4" x14ac:dyDescent="0.25">
      <c r="A3898" t="str">
        <f>T("   847190")</f>
        <v xml:space="preserve">   847190</v>
      </c>
      <c r="B3898"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3898">
        <v>200000</v>
      </c>
      <c r="D3898">
        <v>1200</v>
      </c>
    </row>
    <row r="3899" spans="1:4" x14ac:dyDescent="0.25">
      <c r="A3899" t="str">
        <f>T("   847230")</f>
        <v xml:space="preserve">   847230</v>
      </c>
      <c r="B3899" t="str">
        <f>T("   Machines pour le triage, le pliage, la mise sous enveloppe ou sous bande de courrier, machines à ouvrir, fermer ou sceller la correspondance et machines à apposer ou à oblitérer les timbres")</f>
        <v xml:space="preserve">   Machines pour le triage, le pliage, la mise sous enveloppe ou sous bande de courrier, machines à ouvrir, fermer ou sceller la correspondance et machines à apposer ou à oblitérer les timbres</v>
      </c>
      <c r="C3899">
        <v>100362</v>
      </c>
      <c r="D3899">
        <v>10</v>
      </c>
    </row>
    <row r="3900" spans="1:4" x14ac:dyDescent="0.25">
      <c r="A3900" t="str">
        <f>T("   847490")</f>
        <v xml:space="preserve">   847490</v>
      </c>
      <c r="B3900" t="str">
        <f>T("   Parties des machines et appareils pour le travail des matières minérales du n° 8474, n.d.a.")</f>
        <v xml:space="preserve">   Parties des machines et appareils pour le travail des matières minérales du n° 8474, n.d.a.</v>
      </c>
      <c r="C3900">
        <v>8538632</v>
      </c>
      <c r="D3900">
        <v>3240</v>
      </c>
    </row>
    <row r="3901" spans="1:4" x14ac:dyDescent="0.25">
      <c r="A3901" t="str">
        <f>T("   848140")</f>
        <v xml:space="preserve">   848140</v>
      </c>
      <c r="B3901" t="str">
        <f>T("   Soupapes de trop-plein ou de sûreté")</f>
        <v xml:space="preserve">   Soupapes de trop-plein ou de sûreté</v>
      </c>
      <c r="C3901">
        <v>1388831</v>
      </c>
      <c r="D3901">
        <v>173</v>
      </c>
    </row>
    <row r="3902" spans="1:4" x14ac:dyDescent="0.25">
      <c r="A3902" t="str">
        <f>T("   848180")</f>
        <v xml:space="preserve">   848180</v>
      </c>
      <c r="B3902"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3902">
        <v>36677793</v>
      </c>
      <c r="D3902">
        <v>11002</v>
      </c>
    </row>
    <row r="3903" spans="1:4" x14ac:dyDescent="0.25">
      <c r="A3903" t="str">
        <f>T("   848291")</f>
        <v xml:space="preserve">   848291</v>
      </c>
      <c r="B3903" t="str">
        <f>T("   Billes, galets, rouleaux et aiguilles pour roulements (sauf billes en acier du n° 7326)")</f>
        <v xml:space="preserve">   Billes, galets, rouleaux et aiguilles pour roulements (sauf billes en acier du n° 7326)</v>
      </c>
      <c r="C3903">
        <v>1475910</v>
      </c>
      <c r="D3903">
        <v>55</v>
      </c>
    </row>
    <row r="3904" spans="1:4" x14ac:dyDescent="0.25">
      <c r="A3904" t="str">
        <f>T("   850211")</f>
        <v xml:space="preserve">   850211</v>
      </c>
      <c r="B3904" t="s">
        <v>449</v>
      </c>
      <c r="C3904">
        <v>19137659</v>
      </c>
      <c r="D3904">
        <v>3040</v>
      </c>
    </row>
    <row r="3905" spans="1:4" x14ac:dyDescent="0.25">
      <c r="A3905" t="str">
        <f>T("   850220")</f>
        <v xml:space="preserve">   850220</v>
      </c>
      <c r="B3905" t="s">
        <v>451</v>
      </c>
      <c r="C3905">
        <v>3009761</v>
      </c>
      <c r="D3905">
        <v>661</v>
      </c>
    </row>
    <row r="3906" spans="1:4" x14ac:dyDescent="0.25">
      <c r="A3906" t="str">
        <f>T("   850239")</f>
        <v xml:space="preserve">   850239</v>
      </c>
      <c r="B3906" t="str">
        <f>T("   Groupes électrogènes (autres qu'à énergie éolienne et à moteurs à piston)")</f>
        <v xml:space="preserve">   Groupes électrogènes (autres qu'à énergie éolienne et à moteurs à piston)</v>
      </c>
      <c r="C3906">
        <v>650712</v>
      </c>
      <c r="D3906">
        <v>1038</v>
      </c>
    </row>
    <row r="3907" spans="1:4" x14ac:dyDescent="0.25">
      <c r="A3907" t="str">
        <f>T("   850300")</f>
        <v xml:space="preserve">   850300</v>
      </c>
      <c r="B3907" t="str">
        <f>T("   Parties reconnaissables comme étant exclusivement ou principalement destinées aux moteurs et machines génératrices électriques, groupes électrogènes ou convertisseurs rotatifs électriques n.d.a.")</f>
        <v xml:space="preserve">   Parties reconnaissables comme étant exclusivement ou principalement destinées aux moteurs et machines génératrices électriques, groupes électrogènes ou convertisseurs rotatifs électriques n.d.a.</v>
      </c>
      <c r="C3907">
        <v>342798</v>
      </c>
      <c r="D3907">
        <v>661</v>
      </c>
    </row>
    <row r="3908" spans="1:4" x14ac:dyDescent="0.25">
      <c r="A3908" t="str">
        <f>T("   850432")</f>
        <v xml:space="preserve">   850432</v>
      </c>
      <c r="B3908" t="str">
        <f>T("   Transformateurs à sec, puissance &gt; 1 kVA mais &lt;= 16 kVA")</f>
        <v xml:space="preserve">   Transformateurs à sec, puissance &gt; 1 kVA mais &lt;= 16 kVA</v>
      </c>
      <c r="C3908">
        <v>477237</v>
      </c>
      <c r="D3908">
        <v>145</v>
      </c>
    </row>
    <row r="3909" spans="1:4" x14ac:dyDescent="0.25">
      <c r="A3909" t="str">
        <f>T("   850910")</f>
        <v xml:space="preserve">   850910</v>
      </c>
      <c r="B3909" t="str">
        <f>T("   Aspirateurs de poussières, y.c. les aspirateurs de matières sèches et de matières liquides, à moteur électrique incorporé, à usage domestique")</f>
        <v xml:space="preserve">   Aspirateurs de poussières, y.c. les aspirateurs de matières sèches et de matières liquides, à moteur électrique incorporé, à usage domestique</v>
      </c>
      <c r="C3909">
        <v>102986</v>
      </c>
      <c r="D3909">
        <v>38</v>
      </c>
    </row>
    <row r="3910" spans="1:4" x14ac:dyDescent="0.25">
      <c r="A3910" t="str">
        <f>T("   850940")</f>
        <v xml:space="preserve">   850940</v>
      </c>
      <c r="B3910" t="str">
        <f>T("   Broyeurs et mélangeurs pour aliments; presse-fruits et presse-légumes à moteur électrique incorporé, à usage domestique")</f>
        <v xml:space="preserve">   Broyeurs et mélangeurs pour aliments; presse-fruits et presse-légumes à moteur électrique incorporé, à usage domestique</v>
      </c>
      <c r="C3910">
        <v>4154047</v>
      </c>
      <c r="D3910">
        <v>1260</v>
      </c>
    </row>
    <row r="3911" spans="1:4" x14ac:dyDescent="0.25">
      <c r="A3911" t="str">
        <f>T("   850980")</f>
        <v xml:space="preserve">   850980</v>
      </c>
      <c r="B3911" t="s">
        <v>452</v>
      </c>
      <c r="C3911">
        <v>327980</v>
      </c>
      <c r="D3911">
        <v>350</v>
      </c>
    </row>
    <row r="3912" spans="1:4" x14ac:dyDescent="0.25">
      <c r="A3912" t="str">
        <f>T("   851310")</f>
        <v xml:space="preserve">   851310</v>
      </c>
      <c r="B3912" t="str">
        <f>T("   Lampes électriques portatives, destinées à fonctionner au moyen de leur propre source d'énergie")</f>
        <v xml:space="preserve">   Lampes électriques portatives, destinées à fonctionner au moyen de leur propre source d'énergie</v>
      </c>
      <c r="C3912">
        <v>1116118</v>
      </c>
      <c r="D3912">
        <v>4</v>
      </c>
    </row>
    <row r="3913" spans="1:4" x14ac:dyDescent="0.25">
      <c r="A3913" t="str">
        <f>T("   851721")</f>
        <v xml:space="preserve">   851721</v>
      </c>
      <c r="B3913" t="str">
        <f>T("   Télécopieurs pour la téléphonie par fil")</f>
        <v xml:space="preserve">   Télécopieurs pour la téléphonie par fil</v>
      </c>
      <c r="C3913">
        <v>3936</v>
      </c>
      <c r="D3913">
        <v>3</v>
      </c>
    </row>
    <row r="3914" spans="1:4" x14ac:dyDescent="0.25">
      <c r="A3914" t="str">
        <f>T("   851780")</f>
        <v xml:space="preserve">   851780</v>
      </c>
      <c r="B3914" t="s">
        <v>458</v>
      </c>
      <c r="C3914">
        <v>5872064</v>
      </c>
      <c r="D3914">
        <v>36</v>
      </c>
    </row>
    <row r="3915" spans="1:4" x14ac:dyDescent="0.25">
      <c r="A3915" t="str">
        <f>T("   851829")</f>
        <v xml:space="preserve">   851829</v>
      </c>
      <c r="B3915" t="str">
        <f>T("   Haut-parleurs sans enceinte")</f>
        <v xml:space="preserve">   Haut-parleurs sans enceinte</v>
      </c>
      <c r="C3915">
        <v>300000</v>
      </c>
      <c r="D3915">
        <v>415</v>
      </c>
    </row>
    <row r="3916" spans="1:4" x14ac:dyDescent="0.25">
      <c r="A3916" t="str">
        <f>T("   852090")</f>
        <v xml:space="preserve">   852090</v>
      </c>
      <c r="B3916" t="str">
        <f>T("   Appareils d'enregistrement du son, incorporant également un dispositif de reproduction du son (autres qu'appareils d'enregistrement et de reproduction du son utilisant des bandes magnétiques sur bobines)")</f>
        <v xml:space="preserve">   Appareils d'enregistrement du son, incorporant également un dispositif de reproduction du son (autres qu'appareils d'enregistrement et de reproduction du son utilisant des bandes magnétiques sur bobines)</v>
      </c>
      <c r="C3916">
        <v>150000</v>
      </c>
      <c r="D3916">
        <v>700</v>
      </c>
    </row>
    <row r="3917" spans="1:4" x14ac:dyDescent="0.25">
      <c r="A3917" t="str">
        <f>T("   852520")</f>
        <v xml:space="preserve">   852520</v>
      </c>
      <c r="B3917" t="str">
        <f>T("   Appareils d'émission incorporant un appareil de réception, pour la radiotéléphonie, la radiotélégraphie, la radiodiffusion ou la télévision")</f>
        <v xml:space="preserve">   Appareils d'émission incorporant un appareil de réception, pour la radiotéléphonie, la radiotélégraphie, la radiodiffusion ou la télévision</v>
      </c>
      <c r="C3917">
        <v>54465474</v>
      </c>
      <c r="D3917">
        <v>940</v>
      </c>
    </row>
    <row r="3918" spans="1:4" x14ac:dyDescent="0.25">
      <c r="A3918" t="str">
        <f>T("   852713")</f>
        <v xml:space="preserve">   852713</v>
      </c>
      <c r="B3918" t="str">
        <f>T("   RÉCEPTEURS DE RADIODIFFUSION POUVANT FONCTIONNER SANS SOURCE D'ÉNERGIE EXTÉRIEURE, COMBINÉS À UN APPAREIL D'ENREGISTREMENT OU DE REPRODUCTION DU SON (À L'EXCL. DES RADIOCASSETTES DE POCHE)")</f>
        <v xml:space="preserve">   RÉCEPTEURS DE RADIODIFFUSION POUVANT FONCTIONNER SANS SOURCE D'ÉNERGIE EXTÉRIEURE, COMBINÉS À UN APPAREIL D'ENREGISTREMENT OU DE REPRODUCTION DU SON (À L'EXCL. DES RADIOCASSETTES DE POCHE)</v>
      </c>
      <c r="C3918">
        <v>877174</v>
      </c>
      <c r="D3918">
        <v>4</v>
      </c>
    </row>
    <row r="3919" spans="1:4" x14ac:dyDescent="0.25">
      <c r="A3919" t="str">
        <f>T("   852719")</f>
        <v xml:space="preserve">   852719</v>
      </c>
      <c r="B3919" t="str">
        <f>T("   Récepteurs de radiodiffusion pouvant fonctionner sans source d'énergie extérieure, y.c. les appareils recevant également la radiotéléphonie ou la radiotélégraphie, non combinés à un appareil d'enregistrement et de reproduction du son")</f>
        <v xml:space="preserve">   Récepteurs de radiodiffusion pouvant fonctionner sans source d'énergie extérieure, y.c. les appareils recevant également la radiotéléphonie ou la radiotélégraphie, non combinés à un appareil d'enregistrement et de reproduction du son</v>
      </c>
      <c r="C3919">
        <v>15087</v>
      </c>
      <c r="D3919">
        <v>20</v>
      </c>
    </row>
    <row r="3920" spans="1:4" x14ac:dyDescent="0.25">
      <c r="A3920" t="str">
        <f>T("   852812")</f>
        <v xml:space="preserve">   852812</v>
      </c>
      <c r="B3920"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3920">
        <v>1408212</v>
      </c>
      <c r="D3920">
        <v>1605</v>
      </c>
    </row>
    <row r="3921" spans="1:4" x14ac:dyDescent="0.25">
      <c r="A3921" t="str">
        <f>T("   853110")</f>
        <v xml:space="preserve">   853110</v>
      </c>
      <c r="B3921" t="str">
        <f>T("   Avertisseurs électriques pour la protection contre le vol ou l'incendie et appareils simil.")</f>
        <v xml:space="preserve">   Avertisseurs électriques pour la protection contre le vol ou l'incendie et appareils simil.</v>
      </c>
      <c r="C3921">
        <v>318040</v>
      </c>
      <c r="D3921">
        <v>1</v>
      </c>
    </row>
    <row r="3922" spans="1:4" x14ac:dyDescent="0.25">
      <c r="A3922" t="str">
        <f>T("   853620")</f>
        <v xml:space="preserve">   853620</v>
      </c>
      <c r="B3922" t="str">
        <f>T("   Disjoncteurs, pour une tension &lt;= 1.000 V")</f>
        <v xml:space="preserve">   Disjoncteurs, pour une tension &lt;= 1.000 V</v>
      </c>
      <c r="C3922">
        <v>83339</v>
      </c>
      <c r="D3922">
        <v>50</v>
      </c>
    </row>
    <row r="3923" spans="1:4" x14ac:dyDescent="0.25">
      <c r="A3923" t="str">
        <f>T("   853650")</f>
        <v xml:space="preserve">   853650</v>
      </c>
      <c r="B3923" t="str">
        <f>T("   Interrupteurs, sectionneurs et commutateurs, pour une tension &lt;= 1.000 V (autres que relais et disjoncteurs)")</f>
        <v xml:space="preserve">   Interrupteurs, sectionneurs et commutateurs, pour une tension &lt;= 1.000 V (autres que relais et disjoncteurs)</v>
      </c>
      <c r="C3923">
        <v>36752127</v>
      </c>
      <c r="D3923">
        <v>10085</v>
      </c>
    </row>
    <row r="3924" spans="1:4" x14ac:dyDescent="0.25">
      <c r="A3924" t="str">
        <f>T("   853710")</f>
        <v xml:space="preserve">   853710</v>
      </c>
      <c r="B3924"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3924">
        <v>3889843</v>
      </c>
      <c r="D3924">
        <v>2743</v>
      </c>
    </row>
    <row r="3925" spans="1:4" x14ac:dyDescent="0.25">
      <c r="A3925" t="str">
        <f>T("   853810")</f>
        <v xml:space="preserve">   853810</v>
      </c>
      <c r="B3925" t="str">
        <f>T("   Tableaux, panneaux, consoles, pupitres, armoires et autres supports pour articles du n° 8537, dépourvus de leurs appareils")</f>
        <v xml:space="preserve">   Tableaux, panneaux, consoles, pupitres, armoires et autres supports pour articles du n° 8537, dépourvus de leurs appareils</v>
      </c>
      <c r="C3925">
        <v>2643171</v>
      </c>
      <c r="D3925">
        <v>807</v>
      </c>
    </row>
    <row r="3926" spans="1:4" x14ac:dyDescent="0.25">
      <c r="A3926" t="str">
        <f>T("   853910")</f>
        <v xml:space="preserve">   853910</v>
      </c>
      <c r="B3926" t="str">
        <f>T("   Phares et projecteurs scellés")</f>
        <v xml:space="preserve">   Phares et projecteurs scellés</v>
      </c>
      <c r="C3926">
        <v>414087</v>
      </c>
      <c r="D3926">
        <v>4</v>
      </c>
    </row>
    <row r="3927" spans="1:4" x14ac:dyDescent="0.25">
      <c r="A3927" t="str">
        <f>T("   854389")</f>
        <v xml:space="preserve">   854389</v>
      </c>
      <c r="B3927" t="str">
        <f>T("   MACHINES ET APPAREILS ÉLECTRIQUES AYANT UNE FONCTION PROPRE, N.D.A. DANS LE CHAPITRE 85")</f>
        <v xml:space="preserve">   MACHINES ET APPAREILS ÉLECTRIQUES AYANT UNE FONCTION PROPRE, N.D.A. DANS LE CHAPITRE 85</v>
      </c>
      <c r="C3927">
        <v>483443</v>
      </c>
      <c r="D3927">
        <v>8560</v>
      </c>
    </row>
    <row r="3928" spans="1:4" x14ac:dyDescent="0.25">
      <c r="A3928" t="str">
        <f>T("   854420")</f>
        <v xml:space="preserve">   854420</v>
      </c>
      <c r="B3928" t="str">
        <f>T("   Câbles coaxiaux et autres conducteurs électriques coaxiaux, isolés")</f>
        <v xml:space="preserve">   Câbles coaxiaux et autres conducteurs électriques coaxiaux, isolés</v>
      </c>
      <c r="C3928">
        <v>2621230</v>
      </c>
      <c r="D3928">
        <v>12231</v>
      </c>
    </row>
    <row r="3929" spans="1:4" x14ac:dyDescent="0.25">
      <c r="A3929" t="str">
        <f>T("   854449")</f>
        <v xml:space="preserve">   854449</v>
      </c>
      <c r="B3929" t="str">
        <f>T("   CONDUCTEURS ÉLECTRIQUES, POUR TENSION &lt;= 1.000 V, ISOLÉS, SANS PIÈCES DE CONNEXION, N.D.A.")</f>
        <v xml:space="preserve">   CONDUCTEURS ÉLECTRIQUES, POUR TENSION &lt;= 1.000 V, ISOLÉS, SANS PIÈCES DE CONNEXION, N.D.A.</v>
      </c>
      <c r="C3929">
        <v>9535690</v>
      </c>
      <c r="D3929">
        <v>18708</v>
      </c>
    </row>
    <row r="3930" spans="1:4" x14ac:dyDescent="0.25">
      <c r="A3930" t="str">
        <f>T("   854520")</f>
        <v xml:space="preserve">   854520</v>
      </c>
      <c r="B3930" t="str">
        <f>T("   Balais en charbon, pour usages électriques")</f>
        <v xml:space="preserve">   Balais en charbon, pour usages électriques</v>
      </c>
      <c r="C3930">
        <v>1647116</v>
      </c>
      <c r="D3930">
        <v>9</v>
      </c>
    </row>
    <row r="3931" spans="1:4" x14ac:dyDescent="0.25">
      <c r="A3931" t="str">
        <f>T("   854720")</f>
        <v xml:space="preserve">   854720</v>
      </c>
      <c r="B3931" t="str">
        <f>T("   Pièces isolantes en matières plastiques, pour usages électriques")</f>
        <v xml:space="preserve">   Pièces isolantes en matières plastiques, pour usages électriques</v>
      </c>
      <c r="C3931">
        <v>2231208</v>
      </c>
      <c r="D3931">
        <v>6759</v>
      </c>
    </row>
    <row r="3932" spans="1:4" x14ac:dyDescent="0.25">
      <c r="A3932" t="str">
        <f>T("   854790")</f>
        <v xml:space="preserve">   854790</v>
      </c>
      <c r="B3932" t="str">
        <f>T("   Pièces isolantes, pour usages électriques (autres qu'en céramique ou en matières plastiques, et que tubes isolateurs et leurs pièces de raccordement, en métaux communs, isolés intérieurement)")</f>
        <v xml:space="preserve">   Pièces isolantes, pour usages électriques (autres qu'en céramique ou en matières plastiques, et que tubes isolateurs et leurs pièces de raccordement, en métaux communs, isolés intérieurement)</v>
      </c>
      <c r="C3932">
        <v>3080363</v>
      </c>
      <c r="D3932">
        <v>8690</v>
      </c>
    </row>
    <row r="3933" spans="1:4" x14ac:dyDescent="0.25">
      <c r="A3933" t="str">
        <f>T("   870110")</f>
        <v xml:space="preserve">   870110</v>
      </c>
      <c r="B3933" t="str">
        <f>T("   Motoculteurs et tracteurs de construction similaire pour l'industrie (sauf tracteurs pour véhicules automobiles articulés)")</f>
        <v xml:space="preserve">   Motoculteurs et tracteurs de construction similaire pour l'industrie (sauf tracteurs pour véhicules automobiles articulés)</v>
      </c>
      <c r="C3933">
        <v>787152</v>
      </c>
      <c r="D3933">
        <v>3000</v>
      </c>
    </row>
    <row r="3934" spans="1:4" x14ac:dyDescent="0.25">
      <c r="A3934" t="str">
        <f>T("   870120")</f>
        <v xml:space="preserve">   870120</v>
      </c>
      <c r="B3934" t="str">
        <f>T("   Tracteurs routiers pour semi-remorques")</f>
        <v xml:space="preserve">   Tracteurs routiers pour semi-remorques</v>
      </c>
      <c r="C3934">
        <v>11247631</v>
      </c>
      <c r="D3934">
        <v>75697</v>
      </c>
    </row>
    <row r="3935" spans="1:4" x14ac:dyDescent="0.25">
      <c r="A3935" t="str">
        <f>T("   870190")</f>
        <v xml:space="preserve">   870190</v>
      </c>
      <c r="B3935" t="str">
        <f>T("   Tracteurs (à l'excl. des chariots-tracteurs du n° 8709, ainsi que des motoculteurs, tracteurs routiers pour semi-remorques et tracteurs à chenilles)")</f>
        <v xml:space="preserve">   Tracteurs (à l'excl. des chariots-tracteurs du n° 8709, ainsi que des motoculteurs, tracteurs routiers pour semi-remorques et tracteurs à chenilles)</v>
      </c>
      <c r="C3935">
        <v>749998</v>
      </c>
      <c r="D3935">
        <v>921</v>
      </c>
    </row>
    <row r="3936" spans="1:4" x14ac:dyDescent="0.25">
      <c r="A3936" t="str">
        <f>T("   870210")</f>
        <v xml:space="preserve">   870210</v>
      </c>
      <c r="B3936" t="s">
        <v>477</v>
      </c>
      <c r="C3936">
        <v>1200407</v>
      </c>
      <c r="D3936">
        <v>1950</v>
      </c>
    </row>
    <row r="3937" spans="1:4" x14ac:dyDescent="0.25">
      <c r="A3937" t="str">
        <f>T("   870321")</f>
        <v xml:space="preserve">   870321</v>
      </c>
      <c r="B3937" t="s">
        <v>479</v>
      </c>
      <c r="C3937">
        <v>1201063</v>
      </c>
      <c r="D3937">
        <v>900</v>
      </c>
    </row>
    <row r="3938" spans="1:4" x14ac:dyDescent="0.25">
      <c r="A3938" t="str">
        <f>T("   870322")</f>
        <v xml:space="preserve">   870322</v>
      </c>
      <c r="B3938" t="s">
        <v>480</v>
      </c>
      <c r="C3938">
        <v>41668707</v>
      </c>
      <c r="D3938">
        <v>24952</v>
      </c>
    </row>
    <row r="3939" spans="1:4" x14ac:dyDescent="0.25">
      <c r="A3939" t="str">
        <f>T("   870323")</f>
        <v xml:space="preserve">   870323</v>
      </c>
      <c r="B3939" t="s">
        <v>481</v>
      </c>
      <c r="C3939">
        <v>202229797</v>
      </c>
      <c r="D3939">
        <v>42439</v>
      </c>
    </row>
    <row r="3940" spans="1:4" x14ac:dyDescent="0.25">
      <c r="A3940" t="str">
        <f>T("   870324")</f>
        <v xml:space="preserve">   870324</v>
      </c>
      <c r="B3940" t="s">
        <v>482</v>
      </c>
      <c r="C3940">
        <v>2661500</v>
      </c>
      <c r="D3940">
        <v>2086</v>
      </c>
    </row>
    <row r="3941" spans="1:4" x14ac:dyDescent="0.25">
      <c r="A3941" t="str">
        <f>T("   870332")</f>
        <v xml:space="preserve">   870332</v>
      </c>
      <c r="B3941" t="s">
        <v>484</v>
      </c>
      <c r="C3941">
        <v>33544533</v>
      </c>
      <c r="D3941">
        <v>4600</v>
      </c>
    </row>
    <row r="3942" spans="1:4" x14ac:dyDescent="0.25">
      <c r="A3942" t="str">
        <f>T("   870333")</f>
        <v xml:space="preserve">   870333</v>
      </c>
      <c r="B3942" t="s">
        <v>485</v>
      </c>
      <c r="C3942">
        <v>14891967</v>
      </c>
      <c r="D3942">
        <v>4825</v>
      </c>
    </row>
    <row r="3943" spans="1:4" x14ac:dyDescent="0.25">
      <c r="A3943" t="str">
        <f>T("   870421")</f>
        <v xml:space="preserve">   870421</v>
      </c>
      <c r="B3943" t="s">
        <v>486</v>
      </c>
      <c r="C3943">
        <v>155333451</v>
      </c>
      <c r="D3943">
        <v>24030</v>
      </c>
    </row>
    <row r="3944" spans="1:4" x14ac:dyDescent="0.25">
      <c r="A3944" t="str">
        <f>T("   870422")</f>
        <v xml:space="preserve">   870422</v>
      </c>
      <c r="B3944" t="s">
        <v>487</v>
      </c>
      <c r="C3944">
        <v>4955191</v>
      </c>
      <c r="D3944">
        <v>29200</v>
      </c>
    </row>
    <row r="3945" spans="1:4" x14ac:dyDescent="0.25">
      <c r="A3945" t="str">
        <f>T("   870510")</f>
        <v xml:space="preserve">   870510</v>
      </c>
      <c r="B3945" t="str">
        <f>T("   Camions-grues (sauf dépanneuses)")</f>
        <v xml:space="preserve">   Camions-grues (sauf dépanneuses)</v>
      </c>
      <c r="C3945">
        <v>1815697</v>
      </c>
      <c r="D3945">
        <v>36000</v>
      </c>
    </row>
    <row r="3946" spans="1:4" x14ac:dyDescent="0.25">
      <c r="A3946" t="str">
        <f>T("   870899")</f>
        <v xml:space="preserve">   870899</v>
      </c>
      <c r="B3946"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3946">
        <v>38307569</v>
      </c>
      <c r="D3946">
        <v>4251</v>
      </c>
    </row>
    <row r="3947" spans="1:4" x14ac:dyDescent="0.25">
      <c r="A3947" t="str">
        <f>T("   870990")</f>
        <v xml:space="preserve">   870990</v>
      </c>
      <c r="B3947" t="str">
        <f>T("   Parties de chariots automobiles non munis d'un dispositif de levage, des types utilisés pour le transport des marchandises sur de courtes distances, y.c. les chariots-tracteurs des types utilisés dans les gares, n.d.a.")</f>
        <v xml:space="preserve">   Parties de chariots automobiles non munis d'un dispositif de levage, des types utilisés pour le transport des marchandises sur de courtes distances, y.c. les chariots-tracteurs des types utilisés dans les gares, n.d.a.</v>
      </c>
      <c r="C3947">
        <v>96856</v>
      </c>
      <c r="D3947">
        <v>8</v>
      </c>
    </row>
    <row r="3948" spans="1:4" x14ac:dyDescent="0.25">
      <c r="A3948" t="str">
        <f>T("   871110")</f>
        <v xml:space="preserve">   871110</v>
      </c>
      <c r="B3948" t="str">
        <f>T("   Cyclomoteurs, à moteur à piston alternatif, cylindrée &lt;= 50 cm³, y.c. cycles à moteur auxiliaire")</f>
        <v xml:space="preserve">   Cyclomoteurs, à moteur à piston alternatif, cylindrée &lt;= 50 cm³, y.c. cycles à moteur auxiliaire</v>
      </c>
      <c r="C3948">
        <v>5768192</v>
      </c>
      <c r="D3948">
        <v>2615</v>
      </c>
    </row>
    <row r="3949" spans="1:4" x14ac:dyDescent="0.25">
      <c r="A3949" t="str">
        <f>T("   871120")</f>
        <v xml:space="preserve">   871120</v>
      </c>
      <c r="B3949" t="str">
        <f>T("   Motocycles à moteur à piston alternatif, cylindrée &gt; 50 cm³ mais &lt;= 250 cm³")</f>
        <v xml:space="preserve">   Motocycles à moteur à piston alternatif, cylindrée &gt; 50 cm³ mais &lt;= 250 cm³</v>
      </c>
      <c r="C3949">
        <v>2620000</v>
      </c>
      <c r="D3949">
        <v>4350</v>
      </c>
    </row>
    <row r="3950" spans="1:4" x14ac:dyDescent="0.25">
      <c r="A3950" t="str">
        <f>T("   871190")</f>
        <v xml:space="preserve">   871190</v>
      </c>
      <c r="B3950" t="str">
        <f>T("   Side-cars")</f>
        <v xml:space="preserve">   Side-cars</v>
      </c>
      <c r="C3950">
        <v>1082334</v>
      </c>
      <c r="D3950">
        <v>1475</v>
      </c>
    </row>
    <row r="3951" spans="1:4" x14ac:dyDescent="0.25">
      <c r="A3951" t="str">
        <f>T("   871200")</f>
        <v xml:space="preserve">   871200</v>
      </c>
      <c r="B3951" t="str">
        <f>T("   BICYCLETTES ET AUTRES CYCLES, -Y.C. LES TRIPORTEURS-, SANS MOTEUR")</f>
        <v xml:space="preserve">   BICYCLETTES ET AUTRES CYCLES, -Y.C. LES TRIPORTEURS-, SANS MOTEUR</v>
      </c>
      <c r="C3951">
        <v>165124</v>
      </c>
      <c r="D3951">
        <v>350</v>
      </c>
    </row>
    <row r="3952" spans="1:4" x14ac:dyDescent="0.25">
      <c r="A3952" t="str">
        <f>T("   871631")</f>
        <v xml:space="preserve">   871631</v>
      </c>
      <c r="B3952" t="str">
        <f>T("   Remorques-citernes ne circulant pas sur rails")</f>
        <v xml:space="preserve">   Remorques-citernes ne circulant pas sur rails</v>
      </c>
      <c r="C3952">
        <v>1576951</v>
      </c>
      <c r="D3952">
        <v>5000</v>
      </c>
    </row>
    <row r="3953" spans="1:4" x14ac:dyDescent="0.25">
      <c r="A3953" t="str">
        <f>T("   871639")</f>
        <v xml:space="preserve">   871639</v>
      </c>
      <c r="B3953" t="str">
        <f>T("   Remorques ne circulant pas sur rails, pour le transport des marchandises (sauf remorques destinées à des usages agricoles, remorques autochargeuses ou autodéchargeuses et remorques-citernes)")</f>
        <v xml:space="preserve">   Remorques ne circulant pas sur rails, pour le transport des marchandises (sauf remorques destinées à des usages agricoles, remorques autochargeuses ou autodéchargeuses et remorques-citernes)</v>
      </c>
      <c r="C3953">
        <v>3476739</v>
      </c>
      <c r="D3953">
        <v>91739</v>
      </c>
    </row>
    <row r="3954" spans="1:4" x14ac:dyDescent="0.25">
      <c r="A3954" t="str">
        <f>T("   871640")</f>
        <v xml:space="preserve">   871640</v>
      </c>
      <c r="B3954"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3954">
        <v>1368400</v>
      </c>
      <c r="D3954">
        <v>13000</v>
      </c>
    </row>
    <row r="3955" spans="1:4" x14ac:dyDescent="0.25">
      <c r="A3955" t="str">
        <f>T("   900490")</f>
        <v xml:space="preserve">   900490</v>
      </c>
      <c r="B3955" t="str">
        <f>T("   Lunettes correctrices, protectrices ou autres et articles simil. (à l'excl. des lunettes pour tests visuels, des lunettes solaires, des verres de contact, des verres de lunetterie et des montures de lunettes)")</f>
        <v xml:space="preserve">   Lunettes correctrices, protectrices ou autres et articles simil. (à l'excl. des lunettes pour tests visuels, des lunettes solaires, des verres de contact, des verres de lunetterie et des montures de lunettes)</v>
      </c>
      <c r="C3955">
        <v>230567</v>
      </c>
      <c r="D3955">
        <v>100</v>
      </c>
    </row>
    <row r="3956" spans="1:4" x14ac:dyDescent="0.25">
      <c r="A3956" t="str">
        <f>T("   901060")</f>
        <v xml:space="preserve">   901060</v>
      </c>
      <c r="B3956" t="str">
        <f>T("   ECRANS POUR PROJECTIONS")</f>
        <v xml:space="preserve">   ECRANS POUR PROJECTIONS</v>
      </c>
      <c r="C3956">
        <v>472947</v>
      </c>
      <c r="D3956">
        <v>170</v>
      </c>
    </row>
    <row r="3957" spans="1:4" x14ac:dyDescent="0.25">
      <c r="A3957" t="str">
        <f>T("   901530")</f>
        <v xml:space="preserve">   901530</v>
      </c>
      <c r="B3957" t="str">
        <f>T("   Niveaux")</f>
        <v xml:space="preserve">   Niveaux</v>
      </c>
      <c r="C3957">
        <v>255169</v>
      </c>
      <c r="D3957">
        <v>80</v>
      </c>
    </row>
    <row r="3958" spans="1:4" x14ac:dyDescent="0.25">
      <c r="A3958" t="str">
        <f>T("   901890")</f>
        <v xml:space="preserve">   901890</v>
      </c>
      <c r="B3958" t="str">
        <f>T("   Instruments et appareils pour la médecine, la chirurgie ou l'art vétérinaire, n.d.a.")</f>
        <v xml:space="preserve">   Instruments et appareils pour la médecine, la chirurgie ou l'art vétérinaire, n.d.a.</v>
      </c>
      <c r="C3958">
        <v>1462135</v>
      </c>
      <c r="D3958">
        <v>8913</v>
      </c>
    </row>
    <row r="3959" spans="1:4" x14ac:dyDescent="0.25">
      <c r="A3959" t="str">
        <f>T("   902511")</f>
        <v xml:space="preserve">   902511</v>
      </c>
      <c r="B3959" t="str">
        <f>T("   THERMOMÈTRES À LIQUIDE, À LECTURE DIRECTE, NON-COMBINÉS À D'AUTRES INSTRUMENTS")</f>
        <v xml:space="preserve">   THERMOMÈTRES À LIQUIDE, À LECTURE DIRECTE, NON-COMBINÉS À D'AUTRES INSTRUMENTS</v>
      </c>
      <c r="C3959">
        <v>6560</v>
      </c>
      <c r="D3959">
        <v>10</v>
      </c>
    </row>
    <row r="3960" spans="1:4" x14ac:dyDescent="0.25">
      <c r="A3960" t="str">
        <f>T("   902680")</f>
        <v xml:space="preserve">   902680</v>
      </c>
      <c r="B3960" t="str">
        <f>T("   Instruments et appareils pour la mesure et le contrôle des caractéristiques variables des liquides ou des gaz, n.d.a.")</f>
        <v xml:space="preserve">   Instruments et appareils pour la mesure et le contrôle des caractéristiques variables des liquides ou des gaz, n.d.a.</v>
      </c>
      <c r="C3960">
        <v>2607441</v>
      </c>
      <c r="D3960">
        <v>42</v>
      </c>
    </row>
    <row r="3961" spans="1:4" x14ac:dyDescent="0.25">
      <c r="A3961" t="str">
        <f>T("   902790")</f>
        <v xml:space="preserve">   902790</v>
      </c>
      <c r="B3961" t="s">
        <v>506</v>
      </c>
      <c r="C3961">
        <v>179077</v>
      </c>
      <c r="D3961">
        <v>446</v>
      </c>
    </row>
    <row r="3962" spans="1:4" x14ac:dyDescent="0.25">
      <c r="A3962" t="str">
        <f>T("   903281")</f>
        <v xml:space="preserve">   903281</v>
      </c>
      <c r="B3962" t="str">
        <f>T("   Instruments et appareils, hydrauliques et pneumatiques, pour la régulation ou le contrôle automatiques (à l'excl. des manostats [pressostats] et des articles de robinetterie du n° 8481)")</f>
        <v xml:space="preserve">   Instruments et appareils, hydrauliques et pneumatiques, pour la régulation ou le contrôle automatiques (à l'excl. des manostats [pressostats] et des articles de robinetterie du n° 8481)</v>
      </c>
      <c r="C3962">
        <v>3182567</v>
      </c>
      <c r="D3962">
        <v>55</v>
      </c>
    </row>
    <row r="3963" spans="1:4" x14ac:dyDescent="0.25">
      <c r="A3963" t="str">
        <f>T("   903289")</f>
        <v xml:space="preserve">   903289</v>
      </c>
      <c r="B3963" t="s">
        <v>508</v>
      </c>
      <c r="C3963">
        <v>40351085</v>
      </c>
      <c r="D3963">
        <v>6182</v>
      </c>
    </row>
    <row r="3964" spans="1:4" x14ac:dyDescent="0.25">
      <c r="A3964" t="str">
        <f>T("   940169")</f>
        <v xml:space="preserve">   940169</v>
      </c>
      <c r="B3964" t="str">
        <f>T("   Sièges, avec bâti en bois, non rembourrés")</f>
        <v xml:space="preserve">   Sièges, avec bâti en bois, non rembourrés</v>
      </c>
      <c r="C3964">
        <v>1400000</v>
      </c>
      <c r="D3964">
        <v>2665</v>
      </c>
    </row>
    <row r="3965" spans="1:4" x14ac:dyDescent="0.25">
      <c r="A3965" t="str">
        <f>T("   940180")</f>
        <v xml:space="preserve">   940180</v>
      </c>
      <c r="B3965" t="str">
        <f>T("   Sièges, n.d.a.")</f>
        <v xml:space="preserve">   Sièges, n.d.a.</v>
      </c>
      <c r="C3965">
        <v>14043448</v>
      </c>
      <c r="D3965">
        <v>1936</v>
      </c>
    </row>
    <row r="3966" spans="1:4" x14ac:dyDescent="0.25">
      <c r="A3966" t="str">
        <f>T("   940290")</f>
        <v xml:space="preserve">   940290</v>
      </c>
      <c r="B3966" t="str">
        <f>T("   Tables d'opération, tables d'examen et autre mobilier pour la médecine, la chirurgie, l'art dentaire ou vétérinaire (sauf fauteuils de dentistes et autres sièges, tables d'examen radiographique, civières et brancards, y.c. chariots-brancards)")</f>
        <v xml:space="preserve">   Tables d'opération, tables d'examen et autre mobilier pour la médecine, la chirurgie, l'art dentaire ou vétérinaire (sauf fauteuils de dentistes et autres sièges, tables d'examen radiographique, civières et brancards, y.c. chariots-brancards)</v>
      </c>
      <c r="C3966">
        <v>1010834</v>
      </c>
      <c r="D3966">
        <v>586</v>
      </c>
    </row>
    <row r="3967" spans="1:4" x14ac:dyDescent="0.25">
      <c r="A3967" t="str">
        <f>T("   940320")</f>
        <v xml:space="preserve">   940320</v>
      </c>
      <c r="B3967"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3967">
        <v>266320</v>
      </c>
      <c r="D3967">
        <v>16300</v>
      </c>
    </row>
    <row r="3968" spans="1:4" x14ac:dyDescent="0.25">
      <c r="A3968" t="str">
        <f>T("   940330")</f>
        <v xml:space="preserve">   940330</v>
      </c>
      <c r="B3968" t="str">
        <f>T("   Meubles de bureau en bois (sauf sièges)")</f>
        <v xml:space="preserve">   Meubles de bureau en bois (sauf sièges)</v>
      </c>
      <c r="C3968">
        <v>35044664</v>
      </c>
      <c r="D3968">
        <v>4830</v>
      </c>
    </row>
    <row r="3969" spans="1:4" x14ac:dyDescent="0.25">
      <c r="A3969" t="str">
        <f>T("   940360")</f>
        <v xml:space="preserve">   940360</v>
      </c>
      <c r="B3969" t="str">
        <f>T("   Meubles en bois (autres que pour bureaux, cuisines ou chambres à coucher et autres que sièges)")</f>
        <v xml:space="preserve">   Meubles en bois (autres que pour bureaux, cuisines ou chambres à coucher et autres que sièges)</v>
      </c>
      <c r="C3969">
        <v>602451</v>
      </c>
      <c r="D3969">
        <v>4490</v>
      </c>
    </row>
    <row r="3970" spans="1:4" x14ac:dyDescent="0.25">
      <c r="A3970" t="str">
        <f>T("   940380")</f>
        <v xml:space="preserve">   940380</v>
      </c>
      <c r="B3970" t="str">
        <f>T("   Meubles en rotin, osier, bambou ou autres matières (sauf métal, bois et matières plastiques)")</f>
        <v xml:space="preserve">   Meubles en rotin, osier, bambou ou autres matières (sauf métal, bois et matières plastiques)</v>
      </c>
      <c r="C3970">
        <v>5758595</v>
      </c>
      <c r="D3970">
        <v>23367</v>
      </c>
    </row>
    <row r="3971" spans="1:4" x14ac:dyDescent="0.25">
      <c r="A3971" t="str">
        <f>T("   940429")</f>
        <v xml:space="preserve">   940429</v>
      </c>
      <c r="B3971" t="str">
        <f>T("   Matelas à ressorts ou rembourrés, ou garnis intérieurement de matières autres que le caoutchouc alvéolaire ou les matières plastiques alvéolaires (sauf matelas à eau, matelas pneumatiques et oreillers)")</f>
        <v xml:space="preserve">   Matelas à ressorts ou rembourrés, ou garnis intérieurement de matières autres que le caoutchouc alvéolaire ou les matières plastiques alvéolaires (sauf matelas à eau, matelas pneumatiques et oreillers)</v>
      </c>
      <c r="C3971">
        <v>225002</v>
      </c>
      <c r="D3971">
        <v>450</v>
      </c>
    </row>
    <row r="3972" spans="1:4" x14ac:dyDescent="0.25">
      <c r="A3972" t="str">
        <f>T("   940510")</f>
        <v xml:space="preserve">   940510</v>
      </c>
      <c r="B3972" t="str">
        <f>T("   Lustres et autres appareils d'éclairage électrique à suspendre ou à fixer au plafond ou au mur (sauf pour l'éclairage des espaces et voies publiques)")</f>
        <v xml:space="preserve">   Lustres et autres appareils d'éclairage électrique à suspendre ou à fixer au plafond ou au mur (sauf pour l'éclairage des espaces et voies publiques)</v>
      </c>
      <c r="C3972">
        <v>177765</v>
      </c>
      <c r="D3972">
        <v>51</v>
      </c>
    </row>
    <row r="3973" spans="1:4" x14ac:dyDescent="0.25">
      <c r="A3973" t="str">
        <f>T("   940540")</f>
        <v xml:space="preserve">   940540</v>
      </c>
      <c r="B3973" t="str">
        <f>T("   Appareils d'éclairage électrique, n.d.a.")</f>
        <v xml:space="preserve">   Appareils d'éclairage électrique, n.d.a.</v>
      </c>
      <c r="C3973">
        <v>1663286</v>
      </c>
      <c r="D3973">
        <v>487</v>
      </c>
    </row>
    <row r="3974" spans="1:4" x14ac:dyDescent="0.25">
      <c r="A3974" t="str">
        <f>T("   950390")</f>
        <v xml:space="preserve">   950390</v>
      </c>
      <c r="B3974" t="str">
        <f>T("   Jouets, n.d.a.")</f>
        <v xml:space="preserve">   Jouets, n.d.a.</v>
      </c>
      <c r="C3974">
        <v>536445</v>
      </c>
      <c r="D3974">
        <v>3210</v>
      </c>
    </row>
    <row r="3975" spans="1:4" x14ac:dyDescent="0.25">
      <c r="A3975" t="str">
        <f>T("   950490")</f>
        <v xml:space="preserve">   950490</v>
      </c>
      <c r="B3975" t="s">
        <v>516</v>
      </c>
      <c r="C3975">
        <v>1500181</v>
      </c>
      <c r="D3975">
        <v>480</v>
      </c>
    </row>
    <row r="3976" spans="1:4" x14ac:dyDescent="0.25">
      <c r="A3976" t="str">
        <f>T("   950662")</f>
        <v xml:space="preserve">   950662</v>
      </c>
      <c r="B3976" t="str">
        <f>T("   Ballons et balles gonflables")</f>
        <v xml:space="preserve">   Ballons et balles gonflables</v>
      </c>
      <c r="C3976">
        <v>11171</v>
      </c>
      <c r="D3976">
        <v>41</v>
      </c>
    </row>
    <row r="3977" spans="1:4" x14ac:dyDescent="0.25">
      <c r="A3977" t="str">
        <f>T("   950699")</f>
        <v xml:space="preserve">   950699</v>
      </c>
      <c r="B3977" t="str">
        <f>T("   Articles et matériel pour le sport et les jeux de plein air, n.d.a.; piscines et pataugeoires")</f>
        <v xml:space="preserve">   Articles et matériel pour le sport et les jeux de plein air, n.d.a.; piscines et pataugeoires</v>
      </c>
      <c r="C3977">
        <v>699214</v>
      </c>
      <c r="D3977">
        <v>1296</v>
      </c>
    </row>
    <row r="3978" spans="1:4" x14ac:dyDescent="0.25">
      <c r="A3978" t="str">
        <f>T("   950790")</f>
        <v xml:space="preserve">   950790</v>
      </c>
      <c r="B3978" t="str">
        <f>T("   Articles pour la pêche à la ligne n.d.a.; épuisettes de pêche, filets à papillons, et autres filets simil.; leurres et articles de chasse simil.; leurres et articles de chasse simil. (sauf appeaux de toutes sortes et oiseaux empaillés du n° 9705)")</f>
        <v xml:space="preserve">   Articles pour la pêche à la ligne n.d.a.; épuisettes de pêche, filets à papillons, et autres filets simil.; leurres et articles de chasse simil.; leurres et articles de chasse simil. (sauf appeaux de toutes sortes et oiseaux empaillés du n° 9705)</v>
      </c>
      <c r="C3978">
        <v>53133</v>
      </c>
      <c r="D3978">
        <v>12</v>
      </c>
    </row>
    <row r="3979" spans="1:4" x14ac:dyDescent="0.25">
      <c r="A3979" t="str">
        <f>T("   960390")</f>
        <v xml:space="preserve">   960390</v>
      </c>
      <c r="B3979" t="str">
        <f>T("   ARTICLES DE BROSSERIE (SAUF DU N° 9603.10 À 9603.50), P.EX. TÊTES PRÉPARÉES POUR ARTICLES DE BROSSERIE ET RACLETTES EN CAOUTCHOUC OU EN MATIÈRES SOUPLES ANALOGUES")</f>
        <v xml:space="preserve">   ARTICLES DE BROSSERIE (SAUF DU N° 9603.10 À 9603.50), P.EX. TÊTES PRÉPARÉES POUR ARTICLES DE BROSSERIE ET RACLETTES EN CAOUTCHOUC OU EN MATIÈRES SOUPLES ANALOGUES</v>
      </c>
      <c r="C3979">
        <v>265218</v>
      </c>
      <c r="D3979">
        <v>75</v>
      </c>
    </row>
    <row r="3980" spans="1:4" x14ac:dyDescent="0.25">
      <c r="A3980" t="str">
        <f>T("   960810")</f>
        <v xml:space="preserve">   960810</v>
      </c>
      <c r="B3980" t="str">
        <f>T("   Stylos et crayons à bille")</f>
        <v xml:space="preserve">   Stylos et crayons à bille</v>
      </c>
      <c r="C3980">
        <v>48541</v>
      </c>
      <c r="D3980">
        <v>82</v>
      </c>
    </row>
    <row r="3981" spans="1:4" x14ac:dyDescent="0.25">
      <c r="A3981" t="str">
        <f>T("   960839")</f>
        <v xml:space="preserve">   960839</v>
      </c>
      <c r="B3981" t="str">
        <f>T("   Stylos à plume et autres stylos (autres qu'à dessiner à l'encre de Chine)")</f>
        <v xml:space="preserve">   Stylos à plume et autres stylos (autres qu'à dessiner à l'encre de Chine)</v>
      </c>
      <c r="C3981">
        <v>863899</v>
      </c>
      <c r="D3981">
        <v>3843</v>
      </c>
    </row>
    <row r="3982" spans="1:4" x14ac:dyDescent="0.25">
      <c r="A3982" t="str">
        <f>T("   961380")</f>
        <v xml:space="preserve">   961380</v>
      </c>
      <c r="B3982" t="str">
        <f>T("   Briquets et allumeurs (à l'excl. des briquets de poche à gaz, des mèches et cordeaux détonants pour poudres propulsives et explosifs)")</f>
        <v xml:space="preserve">   Briquets et allumeurs (à l'excl. des briquets de poche à gaz, des mèches et cordeaux détonants pour poudres propulsives et explosifs)</v>
      </c>
      <c r="C3982">
        <v>1403754</v>
      </c>
      <c r="D3982">
        <v>3843</v>
      </c>
    </row>
    <row r="3983" spans="1:4" x14ac:dyDescent="0.25">
      <c r="A3983" t="str">
        <f>T("   961800")</f>
        <v xml:space="preserve">   961800</v>
      </c>
      <c r="B3983" t="str">
        <f>T("   Mannequins et articles simil.; automates et scènes animées pour étalages (à l'excl. des modèles utilisés pour l'enseignement, des poupées présentant des caractères de jouet et des marchandises présentées sur ces mannequins)")</f>
        <v xml:space="preserve">   Mannequins et articles simil.; automates et scènes animées pour étalages (à l'excl. des modèles utilisés pour l'enseignement, des poupées présentant des caractères de jouet et des marchandises présentées sur ces mannequins)</v>
      </c>
      <c r="C3983">
        <v>114703</v>
      </c>
      <c r="D3983">
        <v>100</v>
      </c>
    </row>
    <row r="3984" spans="1:4" x14ac:dyDescent="0.25">
      <c r="A3984" t="str">
        <f>T("FI")</f>
        <v>FI</v>
      </c>
      <c r="B3984" t="str">
        <f>T("Finlande")</f>
        <v>Finlande</v>
      </c>
    </row>
    <row r="3985" spans="1:4" x14ac:dyDescent="0.25">
      <c r="A3985" t="str">
        <f>T("   ZZ_Total_Produit_SH6")</f>
        <v xml:space="preserve">   ZZ_Total_Produit_SH6</v>
      </c>
      <c r="B3985" t="str">
        <f>T("   ZZ_Total_Produit_SH6")</f>
        <v xml:space="preserve">   ZZ_Total_Produit_SH6</v>
      </c>
      <c r="C3985">
        <v>331909553</v>
      </c>
      <c r="D3985">
        <v>39549</v>
      </c>
    </row>
    <row r="3986" spans="1:4" x14ac:dyDescent="0.25">
      <c r="A3986" t="str">
        <f>T("   300660")</f>
        <v xml:space="preserve">   300660</v>
      </c>
      <c r="B3986" t="str">
        <f>T("   Préparations chimiques contraceptives à base d'hormones, de prostaglandines, de thromboxanes, de leucotriènes, de leurs dérivés et analogues structurels ou de spermicides")</f>
        <v xml:space="preserve">   Préparations chimiques contraceptives à base d'hormones, de prostaglandines, de thromboxanes, de leucotriènes, de leurs dérivés et analogues structurels ou de spermicides</v>
      </c>
      <c r="C3986">
        <v>226013228</v>
      </c>
      <c r="D3986">
        <v>368</v>
      </c>
    </row>
    <row r="3987" spans="1:4" x14ac:dyDescent="0.25">
      <c r="A3987" t="str">
        <f>T("   401693")</f>
        <v xml:space="preserve">   401693</v>
      </c>
      <c r="B3987" t="str">
        <f>T("   Joints en caoutchouc vulcanisé non durci (à l'excl. des articles en caoutchouc alvéolaire)")</f>
        <v xml:space="preserve">   Joints en caoutchouc vulcanisé non durci (à l'excl. des articles en caoutchouc alvéolaire)</v>
      </c>
      <c r="C3987">
        <v>253069</v>
      </c>
      <c r="D3987">
        <v>10</v>
      </c>
    </row>
    <row r="3988" spans="1:4" x14ac:dyDescent="0.25">
      <c r="A3988" t="str">
        <f>T("   420229")</f>
        <v xml:space="preserve">   420229</v>
      </c>
      <c r="B3988"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3988">
        <v>420471</v>
      </c>
      <c r="D3988">
        <v>600</v>
      </c>
    </row>
    <row r="3989" spans="1:4" x14ac:dyDescent="0.25">
      <c r="A3989" t="str">
        <f>T("   630900")</f>
        <v xml:space="preserve">   630900</v>
      </c>
      <c r="B3989" t="s">
        <v>278</v>
      </c>
      <c r="C3989">
        <v>17510854</v>
      </c>
      <c r="D3989">
        <v>29883</v>
      </c>
    </row>
    <row r="3990" spans="1:4" x14ac:dyDescent="0.25">
      <c r="A3990" t="str">
        <f>T("   730820")</f>
        <v xml:space="preserve">   730820</v>
      </c>
      <c r="B3990" t="str">
        <f>T("   Tours et pylônes, en fer ou en acier")</f>
        <v xml:space="preserve">   Tours et pylônes, en fer ou en acier</v>
      </c>
      <c r="C3990">
        <v>55396205</v>
      </c>
      <c r="D3990">
        <v>1108</v>
      </c>
    </row>
    <row r="3991" spans="1:4" x14ac:dyDescent="0.25">
      <c r="A3991" t="str">
        <f>T("   731815")</f>
        <v xml:space="preserve">   731815</v>
      </c>
      <c r="B3991" t="s">
        <v>359</v>
      </c>
      <c r="C3991">
        <v>81274</v>
      </c>
      <c r="D3991">
        <v>9</v>
      </c>
    </row>
    <row r="3992" spans="1:4" x14ac:dyDescent="0.25">
      <c r="A3992" t="str">
        <f>T("   841430")</f>
        <v xml:space="preserve">   841430</v>
      </c>
      <c r="B3992" t="str">
        <f>T("   Compresseurs des types utilisés pour équipements frigorifiques")</f>
        <v xml:space="preserve">   Compresseurs des types utilisés pour équipements frigorifiques</v>
      </c>
      <c r="C3992">
        <v>341099</v>
      </c>
      <c r="D3992">
        <v>500</v>
      </c>
    </row>
    <row r="3993" spans="1:4" x14ac:dyDescent="0.25">
      <c r="A3993" t="str">
        <f>T("   841480")</f>
        <v xml:space="preserve">   841480</v>
      </c>
      <c r="B3993" t="s">
        <v>398</v>
      </c>
      <c r="C3993">
        <v>3698342</v>
      </c>
      <c r="D3993">
        <v>50</v>
      </c>
    </row>
    <row r="3994" spans="1:4" x14ac:dyDescent="0.25">
      <c r="A3994" t="str">
        <f>T("   841829")</f>
        <v xml:space="preserve">   841829</v>
      </c>
      <c r="B3994" t="str">
        <f>T("   Réfrigérateurs ménagers à absorption, non-électriques")</f>
        <v xml:space="preserve">   Réfrigérateurs ménagers à absorption, non-électriques</v>
      </c>
      <c r="C3994">
        <v>2500520</v>
      </c>
      <c r="D3994">
        <v>5997</v>
      </c>
    </row>
    <row r="3995" spans="1:4" x14ac:dyDescent="0.25">
      <c r="A3995" t="str">
        <f>T("   842219")</f>
        <v xml:space="preserve">   842219</v>
      </c>
      <c r="B3995" t="str">
        <f>T("   Machines à laver la vaisselle (autres que de type ménager)")</f>
        <v xml:space="preserve">   Machines à laver la vaisselle (autres que de type ménager)</v>
      </c>
      <c r="C3995">
        <v>196788</v>
      </c>
      <c r="D3995">
        <v>150</v>
      </c>
    </row>
    <row r="3996" spans="1:4" x14ac:dyDescent="0.25">
      <c r="A3996" t="str">
        <f>T("   843120")</f>
        <v xml:space="preserve">   843120</v>
      </c>
      <c r="B3996" t="str">
        <f>T("   Parties de chariots-gerbeurs et autres chariots de manutention munis d'un dispositif de levage, n.d.a.")</f>
        <v xml:space="preserve">   Parties de chariots-gerbeurs et autres chariots de manutention munis d'un dispositif de levage, n.d.a.</v>
      </c>
      <c r="C3996">
        <v>4661744</v>
      </c>
      <c r="D3996">
        <v>64</v>
      </c>
    </row>
    <row r="3997" spans="1:4" x14ac:dyDescent="0.25">
      <c r="A3997" t="str">
        <f>T("   843149")</f>
        <v xml:space="preserve">   843149</v>
      </c>
      <c r="B3997" t="str">
        <f>T("   Parties de machines et appareils du n° 8426, 8429 ou 8430, n.d.a.")</f>
        <v xml:space="preserve">   Parties de machines et appareils du n° 8426, 8429 ou 8430, n.d.a.</v>
      </c>
      <c r="C3997">
        <v>11611384</v>
      </c>
      <c r="D3997">
        <v>20</v>
      </c>
    </row>
    <row r="3998" spans="1:4" x14ac:dyDescent="0.25">
      <c r="A3998" t="str">
        <f>T("   848280")</f>
        <v xml:space="preserve">   848280</v>
      </c>
      <c r="B3998" t="s">
        <v>447</v>
      </c>
      <c r="C3998">
        <v>1898053</v>
      </c>
      <c r="D3998">
        <v>100</v>
      </c>
    </row>
    <row r="3999" spans="1:4" x14ac:dyDescent="0.25">
      <c r="A3999" t="str">
        <f>T("   851430")</f>
        <v xml:space="preserve">   851430</v>
      </c>
      <c r="B3999" t="str">
        <f>T("   Fours électriques industriels ou de laboratoires (autres que les fours à résistance, à chauffage indirect, les fours fonctionnant par induction ou par perte diélectrique et les étuves)")</f>
        <v xml:space="preserve">   Fours électriques industriels ou de laboratoires (autres que les fours à résistance, à chauffage indirect, les fours fonctionnant par induction ou par perte diélectrique et les étuves)</v>
      </c>
      <c r="C3999">
        <v>98394</v>
      </c>
      <c r="D3999">
        <v>100</v>
      </c>
    </row>
    <row r="4000" spans="1:4" x14ac:dyDescent="0.25">
      <c r="A4000" t="str">
        <f>T("   851660")</f>
        <v xml:space="preserve">   851660</v>
      </c>
      <c r="B4000" t="str">
        <f>T("   Fours, cuisinières, réchauds, tables de cuisson, grils et rôtissoires électriques, pour usages domestiques (sauf fours destinés au chauffage des locaux et fours à micro-ondes)")</f>
        <v xml:space="preserve">   Fours, cuisinières, réchauds, tables de cuisson, grils et rôtissoires électriques, pour usages domestiques (sauf fours destinés au chauffage des locaux et fours à micro-ondes)</v>
      </c>
      <c r="C4000">
        <v>262384</v>
      </c>
      <c r="D4000">
        <v>150</v>
      </c>
    </row>
    <row r="4001" spans="1:4" x14ac:dyDescent="0.25">
      <c r="A4001" t="str">
        <f>T("   851672")</f>
        <v xml:space="preserve">   851672</v>
      </c>
      <c r="B4001" t="str">
        <f>T("   Grille-pain électriques, pour usages domestiques")</f>
        <v xml:space="preserve">   Grille-pain électriques, pour usages domestiques</v>
      </c>
      <c r="C4001">
        <v>131192</v>
      </c>
      <c r="D4001">
        <v>300</v>
      </c>
    </row>
    <row r="4002" spans="1:4" x14ac:dyDescent="0.25">
      <c r="A4002" t="str">
        <f>T("   852812")</f>
        <v xml:space="preserve">   852812</v>
      </c>
      <c r="B4002"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4002">
        <v>65596</v>
      </c>
      <c r="D4002">
        <v>100</v>
      </c>
    </row>
    <row r="4003" spans="1:4" x14ac:dyDescent="0.25">
      <c r="A4003" t="str">
        <f>T("   854420")</f>
        <v xml:space="preserve">   854420</v>
      </c>
      <c r="B4003" t="str">
        <f>T("   Câbles coaxiaux et autres conducteurs électriques coaxiaux, isolés")</f>
        <v xml:space="preserve">   Câbles coaxiaux et autres conducteurs électriques coaxiaux, isolés</v>
      </c>
      <c r="C4003">
        <v>6768956</v>
      </c>
      <c r="D4003">
        <v>40</v>
      </c>
    </row>
    <row r="4004" spans="1:4" x14ac:dyDescent="0.25">
      <c r="A4004" t="str">
        <f>T("FR")</f>
        <v>FR</v>
      </c>
      <c r="B4004" t="str">
        <f>T("France")</f>
        <v>France</v>
      </c>
    </row>
    <row r="4005" spans="1:4" x14ac:dyDescent="0.25">
      <c r="A4005" t="str">
        <f>T("   ZZ_Total_Produit_SH6")</f>
        <v xml:space="preserve">   ZZ_Total_Produit_SH6</v>
      </c>
      <c r="B4005" t="str">
        <f>T("   ZZ_Total_Produit_SH6")</f>
        <v xml:space="preserve">   ZZ_Total_Produit_SH6</v>
      </c>
      <c r="C4005">
        <v>149332148211.05099</v>
      </c>
      <c r="D4005">
        <v>219178863.37</v>
      </c>
    </row>
    <row r="4006" spans="1:4" x14ac:dyDescent="0.25">
      <c r="A4006" t="str">
        <f>T("   010110")</f>
        <v xml:space="preserve">   010110</v>
      </c>
      <c r="B4006" t="str">
        <f>T("   Chevaux et ânes, reproducteurs de race pure")</f>
        <v xml:space="preserve">   Chevaux et ânes, reproducteurs de race pure</v>
      </c>
      <c r="C4006">
        <v>2000</v>
      </c>
      <c r="D4006">
        <v>25</v>
      </c>
    </row>
    <row r="4007" spans="1:4" x14ac:dyDescent="0.25">
      <c r="A4007" t="str">
        <f>T("   010190")</f>
        <v xml:space="preserve">   010190</v>
      </c>
      <c r="B4007" t="str">
        <f>T("   Chevaux, ânes, mulets et bardots, vivants (à l'excl. des animaux reproducteurs de race pure)")</f>
        <v xml:space="preserve">   Chevaux, ânes, mulets et bardots, vivants (à l'excl. des animaux reproducteurs de race pure)</v>
      </c>
      <c r="C4007">
        <v>125000</v>
      </c>
      <c r="D4007">
        <v>250</v>
      </c>
    </row>
    <row r="4008" spans="1:4" x14ac:dyDescent="0.25">
      <c r="A4008" t="str">
        <f>T("   010511")</f>
        <v xml:space="preserve">   010511</v>
      </c>
      <c r="B4008" t="str">
        <f>T("   Coqs et poules [des espèces domestiques], vivants, d'un poids &lt;= 185 g")</f>
        <v xml:space="preserve">   Coqs et poules [des espèces domestiques], vivants, d'un poids &lt;= 185 g</v>
      </c>
      <c r="C4008">
        <v>19224875</v>
      </c>
      <c r="D4008">
        <v>7396</v>
      </c>
    </row>
    <row r="4009" spans="1:4" x14ac:dyDescent="0.25">
      <c r="A4009" t="str">
        <f>T("   020230")</f>
        <v xml:space="preserve">   020230</v>
      </c>
      <c r="B4009" t="str">
        <f>T("   Viandes désossées de bovins, congelées")</f>
        <v xml:space="preserve">   Viandes désossées de bovins, congelées</v>
      </c>
      <c r="C4009">
        <v>6918409</v>
      </c>
      <c r="D4009">
        <v>3711</v>
      </c>
    </row>
    <row r="4010" spans="1:4" x14ac:dyDescent="0.25">
      <c r="A4010" t="str">
        <f>T("   020422")</f>
        <v xml:space="preserve">   020422</v>
      </c>
      <c r="B4010" t="str">
        <f>T("   MORCEAUX NON-DÉSOSSÉS, D'OVINS, FRAIS OU RÉFRIGÉRÉS (À L'EXCL. DES CARCASSES OU DEMI-CARCASSES)")</f>
        <v xml:space="preserve">   MORCEAUX NON-DÉSOSSÉS, D'OVINS, FRAIS OU RÉFRIGÉRÉS (À L'EXCL. DES CARCASSES OU DEMI-CARCASSES)</v>
      </c>
      <c r="C4010">
        <v>806176</v>
      </c>
      <c r="D4010">
        <v>1294</v>
      </c>
    </row>
    <row r="4011" spans="1:4" x14ac:dyDescent="0.25">
      <c r="A4011" t="str">
        <f>T("   020430")</f>
        <v xml:space="preserve">   020430</v>
      </c>
      <c r="B4011" t="str">
        <f>T("   Carcasses ou demi-carcasses, d'agneaux, congelées")</f>
        <v xml:space="preserve">   Carcasses ou demi-carcasses, d'agneaux, congelées</v>
      </c>
      <c r="C4011">
        <v>28877983</v>
      </c>
      <c r="D4011">
        <v>19251</v>
      </c>
    </row>
    <row r="4012" spans="1:4" x14ac:dyDescent="0.25">
      <c r="A4012" t="str">
        <f>T("   020629")</f>
        <v xml:space="preserve">   020629</v>
      </c>
      <c r="B4012" t="str">
        <f>T("   Abats comestibles de bovins, congelés (à l'excl. des langues et des foies)")</f>
        <v xml:space="preserve">   Abats comestibles de bovins, congelés (à l'excl. des langues et des foies)</v>
      </c>
      <c r="C4012">
        <v>20979568</v>
      </c>
      <c r="D4012">
        <v>24634</v>
      </c>
    </row>
    <row r="4013" spans="1:4" x14ac:dyDescent="0.25">
      <c r="A4013" t="str">
        <f>T("   020711")</f>
        <v xml:space="preserve">   020711</v>
      </c>
      <c r="B4013" t="str">
        <f>T("   COQS ET POULES [DES ESPÈCES DOMESTIQUES], NON-DÉCOUPÉS EN MORCEAUX, FRAIS OU RÉFRIGÉRÉS")</f>
        <v xml:space="preserve">   COQS ET POULES [DES ESPÈCES DOMESTIQUES], NON-DÉCOUPÉS EN MORCEAUX, FRAIS OU RÉFRIGÉRÉS</v>
      </c>
      <c r="C4013">
        <v>6302351</v>
      </c>
      <c r="D4013">
        <v>10230.299999999999</v>
      </c>
    </row>
    <row r="4014" spans="1:4" x14ac:dyDescent="0.25">
      <c r="A4014" t="str">
        <f>T("   020712")</f>
        <v xml:space="preserve">   020712</v>
      </c>
      <c r="B4014" t="str">
        <f>T("   COQS ET POULES [DES ESPÈCES DOMESTIQUES], NON-DÉCOUPÉS EN MORCEAUX, CONGELÉS")</f>
        <v xml:space="preserve">   COQS ET POULES [DES ESPÈCES DOMESTIQUES], NON-DÉCOUPÉS EN MORCEAUX, CONGELÉS</v>
      </c>
      <c r="C4014">
        <v>2175307378</v>
      </c>
      <c r="D4014">
        <v>3658084</v>
      </c>
    </row>
    <row r="4015" spans="1:4" x14ac:dyDescent="0.25">
      <c r="A4015" t="str">
        <f>T("   020714")</f>
        <v xml:space="preserve">   020714</v>
      </c>
      <c r="B4015" t="str">
        <f>T("   Morceaux et abats comestibles de coqs et de poules [des espèces domestiques], congelés")</f>
        <v xml:space="preserve">   Morceaux et abats comestibles de coqs et de poules [des espèces domestiques], congelés</v>
      </c>
      <c r="C4015">
        <v>7344454044</v>
      </c>
      <c r="D4015">
        <v>12839284</v>
      </c>
    </row>
    <row r="4016" spans="1:4" x14ac:dyDescent="0.25">
      <c r="A4016" t="str">
        <f>T("   020725")</f>
        <v xml:space="preserve">   020725</v>
      </c>
      <c r="B4016" t="str">
        <f>T("   DINDES ET DINDONS [DES ESPÈCES DOMESTIQUES], NON-DÉCOUPÉS EN MORCEAUX, CONGELÉS")</f>
        <v xml:space="preserve">   DINDES ET DINDONS [DES ESPÈCES DOMESTIQUES], NON-DÉCOUPÉS EN MORCEAUX, CONGELÉS</v>
      </c>
      <c r="C4016">
        <v>1603166</v>
      </c>
      <c r="D4016">
        <v>2650</v>
      </c>
    </row>
    <row r="4017" spans="1:4" x14ac:dyDescent="0.25">
      <c r="A4017" t="str">
        <f>T("   020726")</f>
        <v xml:space="preserve">   020726</v>
      </c>
      <c r="B4017" t="str">
        <f>T("   Morceaux et abats comestibles de dindes et dindons [des espèces domestiques], frais ou réfrigérés")</f>
        <v xml:space="preserve">   Morceaux et abats comestibles de dindes et dindons [des espèces domestiques], frais ou réfrigérés</v>
      </c>
      <c r="C4017">
        <v>19800808</v>
      </c>
      <c r="D4017">
        <v>33000</v>
      </c>
    </row>
    <row r="4018" spans="1:4" x14ac:dyDescent="0.25">
      <c r="A4018" t="str">
        <f>T("   020727")</f>
        <v xml:space="preserve">   020727</v>
      </c>
      <c r="B4018" t="str">
        <f>T("   Morceaux et abats comestibles de dindes et dindons [des espèces domestiques], congelés")</f>
        <v xml:space="preserve">   Morceaux et abats comestibles de dindes et dindons [des espèces domestiques], congelés</v>
      </c>
      <c r="C4018">
        <v>10615668950</v>
      </c>
      <c r="D4018">
        <v>17991843</v>
      </c>
    </row>
    <row r="4019" spans="1:4" x14ac:dyDescent="0.25">
      <c r="A4019" t="str">
        <f>T("   020733")</f>
        <v xml:space="preserve">   020733</v>
      </c>
      <c r="B4019" t="str">
        <f>T("   CANARDS, OIES OU PINTADES [DES ESPÈCES DOMESTIQUES], NON-DÉCOUPÉS EN MORCEAUX, CONGELÉS")</f>
        <v xml:space="preserve">   CANARDS, OIES OU PINTADES [DES ESPÈCES DOMESTIQUES], NON-DÉCOUPÉS EN MORCEAUX, CONGELÉS</v>
      </c>
      <c r="C4019">
        <v>4031858</v>
      </c>
      <c r="D4019">
        <v>6717</v>
      </c>
    </row>
    <row r="4020" spans="1:4" x14ac:dyDescent="0.25">
      <c r="A4020" t="str">
        <f>T("   020735")</f>
        <v xml:space="preserve">   020735</v>
      </c>
      <c r="B4020" t="str">
        <f>T("   Morceaux et abats comestibles de canards, d'oies ou de pintades [des espèces domestiques], frais ou réfrigérés (à l'excl. des foies gras)")</f>
        <v xml:space="preserve">   Morceaux et abats comestibles de canards, d'oies ou de pintades [des espèces domestiques], frais ou réfrigérés (à l'excl. des foies gras)</v>
      </c>
      <c r="C4020">
        <v>2850146</v>
      </c>
      <c r="D4020">
        <v>4750</v>
      </c>
    </row>
    <row r="4021" spans="1:4" x14ac:dyDescent="0.25">
      <c r="A4021" t="str">
        <f>T("   020736")</f>
        <v xml:space="preserve">   020736</v>
      </c>
      <c r="B4021" t="str">
        <f>T("   Morceaux et abats comestibles de canards, d'oies ou de pintades [des espèces domestiques], congelés (à l'excl. des foies gras)")</f>
        <v xml:space="preserve">   Morceaux et abats comestibles de canards, d'oies ou de pintades [des espèces domestiques], congelés (à l'excl. des foies gras)</v>
      </c>
      <c r="C4021">
        <v>41354157</v>
      </c>
      <c r="D4021">
        <v>68442</v>
      </c>
    </row>
    <row r="4022" spans="1:4" x14ac:dyDescent="0.25">
      <c r="A4022" t="str">
        <f>T("   020810")</f>
        <v xml:space="preserve">   020810</v>
      </c>
      <c r="B4022" t="str">
        <f>T("   Viandes et abats comestibles de lapins ou de lièvres, frais, réfrigérés ou congelés")</f>
        <v xml:space="preserve">   Viandes et abats comestibles de lapins ou de lièvres, frais, réfrigérés ou congelés</v>
      </c>
      <c r="C4022">
        <v>19394115</v>
      </c>
      <c r="D4022">
        <v>24319</v>
      </c>
    </row>
    <row r="4023" spans="1:4" x14ac:dyDescent="0.25">
      <c r="A4023" t="str">
        <f>T("   020890")</f>
        <v xml:space="preserve">   020890</v>
      </c>
      <c r="B4023" t="s">
        <v>13</v>
      </c>
      <c r="C4023">
        <v>7218186</v>
      </c>
      <c r="D4023">
        <v>22505</v>
      </c>
    </row>
    <row r="4024" spans="1:4" x14ac:dyDescent="0.25">
      <c r="A4024" t="str">
        <f>T("   021011")</f>
        <v xml:space="preserve">   021011</v>
      </c>
      <c r="B4024" t="str">
        <f>T("   JAMBONS, ÉPAULES ET LEURS MORCEAUX, NON-DÉSOSSÉS, DE PORCINS, SALÉS OU EN SAUMURE, SÉCHÉS OU FUMÉS")</f>
        <v xml:space="preserve">   JAMBONS, ÉPAULES ET LEURS MORCEAUX, NON-DÉSOSSÉS, DE PORCINS, SALÉS OU EN SAUMURE, SÉCHÉS OU FUMÉS</v>
      </c>
      <c r="C4024">
        <v>16059973</v>
      </c>
      <c r="D4024">
        <v>31282</v>
      </c>
    </row>
    <row r="4025" spans="1:4" x14ac:dyDescent="0.25">
      <c r="A4025" t="str">
        <f>T("   021012")</f>
        <v xml:space="preserve">   021012</v>
      </c>
      <c r="B4025" t="str">
        <f>T("   Poitrines [entrelardés] et morceaux de poitrines, de porcins, salés ou en saumure, séchés ou fumés")</f>
        <v xml:space="preserve">   Poitrines [entrelardés] et morceaux de poitrines, de porcins, salés ou en saumure, séchés ou fumés</v>
      </c>
      <c r="C4025">
        <v>2658422</v>
      </c>
      <c r="D4025">
        <v>1442.86</v>
      </c>
    </row>
    <row r="4026" spans="1:4" x14ac:dyDescent="0.25">
      <c r="A4026" t="str">
        <f>T("   021019")</f>
        <v xml:space="preserve">   021019</v>
      </c>
      <c r="B4026" t="str">
        <f>T("   VIANDES DE PORCINS, SALÉES OU EN SAUMURE, SÉCHÉES OU FUMÉES (À L'EXCL. DES JAMBONS, ÉPAULES ET LEURS MORCEAUX, NON-DÉSOSSÉS, AINSI QUE DES POITRINES [ENTRELARDÉS] ET LEURS MORCEAUX)")</f>
        <v xml:space="preserve">   VIANDES DE PORCINS, SALÉES OU EN SAUMURE, SÉCHÉES OU FUMÉES (À L'EXCL. DES JAMBONS, ÉPAULES ET LEURS MORCEAUX, NON-DÉSOSSÉS, AINSI QUE DES POITRINES [ENTRELARDÉS] ET LEURS MORCEAUX)</v>
      </c>
      <c r="C4026">
        <v>4794504</v>
      </c>
      <c r="D4026">
        <v>4767</v>
      </c>
    </row>
    <row r="4027" spans="1:4" x14ac:dyDescent="0.25">
      <c r="A4027" t="str">
        <f>T("   021099")</f>
        <v xml:space="preserve">   021099</v>
      </c>
      <c r="B4027" t="s">
        <v>14</v>
      </c>
      <c r="C4027">
        <v>19063507</v>
      </c>
      <c r="D4027">
        <v>31425</v>
      </c>
    </row>
    <row r="4028" spans="1:4" x14ac:dyDescent="0.25">
      <c r="A4028" t="str">
        <f>T("   030269")</f>
        <v xml:space="preserve">   030269</v>
      </c>
      <c r="B4028" t="s">
        <v>16</v>
      </c>
      <c r="C4028">
        <v>93146</v>
      </c>
      <c r="D4028">
        <v>279</v>
      </c>
    </row>
    <row r="4029" spans="1:4" x14ac:dyDescent="0.25">
      <c r="A4029" t="str">
        <f>T("   030270")</f>
        <v xml:space="preserve">   030270</v>
      </c>
      <c r="B4029" t="str">
        <f>T("   Foies, oeufs et laitances, comestibles, frais ou réfrigérés")</f>
        <v xml:space="preserve">   Foies, oeufs et laitances, comestibles, frais ou réfrigérés</v>
      </c>
      <c r="C4029">
        <v>42637</v>
      </c>
      <c r="D4029">
        <v>16</v>
      </c>
    </row>
    <row r="4030" spans="1:4" x14ac:dyDescent="0.25">
      <c r="A4030" t="str">
        <f>T("   030311")</f>
        <v xml:space="preserve">   030311</v>
      </c>
      <c r="B4030" t="str">
        <f>T("   Saumons rouges [Oncorhynchus nerka], congelés")</f>
        <v xml:space="preserve">   Saumons rouges [Oncorhynchus nerka], congelés</v>
      </c>
      <c r="C4030">
        <v>592332</v>
      </c>
      <c r="D4030">
        <v>191</v>
      </c>
    </row>
    <row r="4031" spans="1:4" x14ac:dyDescent="0.25">
      <c r="A4031" t="str">
        <f>T("   030319")</f>
        <v xml:space="preserve">   030319</v>
      </c>
      <c r="B4031" t="str">
        <f>T("   Saumons du Pacifique [Oncorhynchus gorbuscha, Oncorhynchus keta, Oncorhynchus tschawytscha, Oncorhynchus kisutch, Oncorhynchus masou et Oncorhynchus rhodurus], congelés (à l'excl. des saumons rouges [Oncorhynchus nerka])")</f>
        <v xml:space="preserve">   Saumons du Pacifique [Oncorhynchus gorbuscha, Oncorhynchus keta, Oncorhynchus tschawytscha, Oncorhynchus kisutch, Oncorhynchus masou et Oncorhynchus rhodurus], congelés (à l'excl. des saumons rouges [Oncorhynchus nerka])</v>
      </c>
      <c r="C4031">
        <v>2407374</v>
      </c>
      <c r="D4031">
        <v>1237</v>
      </c>
    </row>
    <row r="4032" spans="1:4" x14ac:dyDescent="0.25">
      <c r="A4032" t="str">
        <f>T("   030329")</f>
        <v xml:space="preserve">   030329</v>
      </c>
      <c r="B4032" t="str">
        <f>T("   Salmonidés, congelés (à l'excl. des saumons du Pacifique, de l'Atlantique et du Danube ainsi que des truites)")</f>
        <v xml:space="preserve">   Salmonidés, congelés (à l'excl. des saumons du Pacifique, de l'Atlantique et du Danube ainsi que des truites)</v>
      </c>
      <c r="C4032">
        <v>696630</v>
      </c>
      <c r="D4032">
        <v>138</v>
      </c>
    </row>
    <row r="4033" spans="1:4" x14ac:dyDescent="0.25">
      <c r="A4033" t="str">
        <f>T("   030339")</f>
        <v xml:space="preserve">   030339</v>
      </c>
      <c r="B4033" t="str">
        <f>T("   Poissons plats [pleuronectidés, bothidés, cynoglossidés, soléidés, scophthalmidés et citharidés], congelés (à l'excl. des flétans, des plies ou carrelets et des soles)")</f>
        <v xml:space="preserve">   Poissons plats [pleuronectidés, bothidés, cynoglossidés, soléidés, scophthalmidés et citharidés], congelés (à l'excl. des flétans, des plies ou carrelets et des soles)</v>
      </c>
      <c r="C4033">
        <v>14691537</v>
      </c>
      <c r="D4033">
        <v>83600</v>
      </c>
    </row>
    <row r="4034" spans="1:4" x14ac:dyDescent="0.25">
      <c r="A4034" t="str">
        <f>T("   030379")</f>
        <v xml:space="preserve">   030379</v>
      </c>
      <c r="B4034" t="s">
        <v>17</v>
      </c>
      <c r="C4034">
        <v>5615097636</v>
      </c>
      <c r="D4034">
        <v>32037246</v>
      </c>
    </row>
    <row r="4035" spans="1:4" x14ac:dyDescent="0.25">
      <c r="A4035" t="str">
        <f>T("   030380")</f>
        <v xml:space="preserve">   030380</v>
      </c>
      <c r="B4035" t="str">
        <f>T("   Foies, oeufs et laitances, comestibles, congelés")</f>
        <v xml:space="preserve">   Foies, oeufs et laitances, comestibles, congelés</v>
      </c>
      <c r="C4035">
        <v>55100</v>
      </c>
      <c r="D4035">
        <v>232</v>
      </c>
    </row>
    <row r="4036" spans="1:4" x14ac:dyDescent="0.25">
      <c r="A4036" t="str">
        <f>T("   030410")</f>
        <v xml:space="preserve">   030410</v>
      </c>
      <c r="B4036" t="str">
        <f>T("   Filets de poissons et autre chair de poissons - même hachée - frais ou réfrigérés")</f>
        <v xml:space="preserve">   Filets de poissons et autre chair de poissons - même hachée - frais ou réfrigérés</v>
      </c>
      <c r="C4036">
        <v>114793</v>
      </c>
      <c r="D4036">
        <v>177</v>
      </c>
    </row>
    <row r="4037" spans="1:4" x14ac:dyDescent="0.25">
      <c r="A4037" t="str">
        <f>T("   030490")</f>
        <v xml:space="preserve">   030490</v>
      </c>
      <c r="B4037" t="str">
        <f>T("   Chair de poissons (sauf filets), même hachée, congelée")</f>
        <v xml:space="preserve">   Chair de poissons (sauf filets), même hachée, congelée</v>
      </c>
      <c r="C4037">
        <v>540511</v>
      </c>
      <c r="D4037">
        <v>226</v>
      </c>
    </row>
    <row r="4038" spans="1:4" x14ac:dyDescent="0.25">
      <c r="A4038" t="str">
        <f>T("   030530")</f>
        <v xml:space="preserve">   030530</v>
      </c>
      <c r="B4038" t="str">
        <f>T("   FILETS DE POISSONS, SÉCHÉS, SALÉS OU EN SAUMURE, MAIS NON-FUMÉS")</f>
        <v xml:space="preserve">   FILETS DE POISSONS, SÉCHÉS, SALÉS OU EN SAUMURE, MAIS NON-FUMÉS</v>
      </c>
      <c r="C4038">
        <v>6896762</v>
      </c>
      <c r="D4038">
        <v>2888</v>
      </c>
    </row>
    <row r="4039" spans="1:4" x14ac:dyDescent="0.25">
      <c r="A4039" t="str">
        <f>T("   030541")</f>
        <v xml:space="preserve">   030541</v>
      </c>
      <c r="B4039" t="str">
        <f>T("   Filets de saumons du Pacifique [Oncorhynchus spp.], de saumons de l'Atlantique [Salmo salar] et de saumons du Danube [Hucho hucho], frais ou réfrigérés")</f>
        <v xml:space="preserve">   Filets de saumons du Pacifique [Oncorhynchus spp.], de saumons de l'Atlantique [Salmo salar] et de saumons du Danube [Hucho hucho], frais ou réfrigérés</v>
      </c>
      <c r="C4039">
        <v>8059780</v>
      </c>
      <c r="D4039">
        <v>9240</v>
      </c>
    </row>
    <row r="4040" spans="1:4" x14ac:dyDescent="0.25">
      <c r="A4040" t="str">
        <f>T("   030549")</f>
        <v xml:space="preserve">   030549</v>
      </c>
      <c r="B4040" t="str">
        <f>T("   Poissons fumés, y.c. les filets (à l'excl. des harengs et des saumons du Pacifique, de l'Atlantique et du Danube)")</f>
        <v xml:space="preserve">   Poissons fumés, y.c. les filets (à l'excl. des harengs et des saumons du Pacifique, de l'Atlantique et du Danube)</v>
      </c>
      <c r="C4040">
        <v>337977</v>
      </c>
      <c r="D4040">
        <v>741</v>
      </c>
    </row>
    <row r="4041" spans="1:4" x14ac:dyDescent="0.25">
      <c r="A4041" t="str">
        <f>T("   030614")</f>
        <v xml:space="preserve">   030614</v>
      </c>
      <c r="B4041" t="str">
        <f>T("   CRABES, MÊME DÉCORTIQUÉS, CONGELÉS, Y.C. LES CRABES NON-DÉCORTIQUÉS PRÉALABLEMENT CUITS À L'EAU OU À LA VAPEUR")</f>
        <v xml:space="preserve">   CRABES, MÊME DÉCORTIQUÉS, CONGELÉS, Y.C. LES CRABES NON-DÉCORTIQUÉS PRÉALABLEMENT CUITS À L'EAU OU À LA VAPEUR</v>
      </c>
      <c r="C4041">
        <v>287632</v>
      </c>
      <c r="D4041">
        <v>500</v>
      </c>
    </row>
    <row r="4042" spans="1:4" x14ac:dyDescent="0.25">
      <c r="A4042" t="str">
        <f>T("   030710")</f>
        <v xml:space="preserve">   030710</v>
      </c>
      <c r="B4042" t="str">
        <f>T("   Huîtres, vivantes, fraîches, réfrigérées, congelées, séchées, salées ou en saumure")</f>
        <v xml:space="preserve">   Huîtres, vivantes, fraîches, réfrigérées, congelées, séchées, salées ou en saumure</v>
      </c>
      <c r="C4042">
        <v>242049</v>
      </c>
      <c r="D4042">
        <v>45</v>
      </c>
    </row>
    <row r="4043" spans="1:4" x14ac:dyDescent="0.25">
      <c r="A4043" t="str">
        <f>T("   030729")</f>
        <v xml:space="preserve">   030729</v>
      </c>
      <c r="B4043" t="str">
        <f>T("   COQUILLES SAINT-JACQUES OU PEIGNÉS, PÉTONCLES OU VANNEAUX, ET AUTRES COQUILLAGES DES GENRES 'PECTEN', 'CHLAMYS' OU 'PLACOPECTEN', MÊME SÉPARÉS DE LEUR COQUILLE, CONGELÉS, SÉCHÉS, SALÉS OU EN SAUMURE")</f>
        <v xml:space="preserve">   COQUILLES SAINT-JACQUES OU PEIGNÉS, PÉTONCLES OU VANNEAUX, ET AUTRES COQUILLAGES DES GENRES 'PECTEN', 'CHLAMYS' OU 'PLACOPECTEN', MÊME SÉPARÉS DE LEUR COQUILLE, CONGELÉS, SÉCHÉS, SALÉS OU EN SAUMURE</v>
      </c>
      <c r="C4043">
        <v>685478</v>
      </c>
      <c r="D4043">
        <v>266</v>
      </c>
    </row>
    <row r="4044" spans="1:4" x14ac:dyDescent="0.25">
      <c r="A4044" t="str">
        <f>T("   030739")</f>
        <v xml:space="preserve">   030739</v>
      </c>
      <c r="B4044" t="str">
        <f>T("   Moules [Mytilus spp., Perna spp.], même séparées de leur coquille, congelées, séchées, salées ou en saumure")</f>
        <v xml:space="preserve">   Moules [Mytilus spp., Perna spp.], même séparées de leur coquille, congelées, séchées, salées ou en saumure</v>
      </c>
      <c r="C4044">
        <v>552975</v>
      </c>
      <c r="D4044">
        <v>1133</v>
      </c>
    </row>
    <row r="4045" spans="1:4" x14ac:dyDescent="0.25">
      <c r="A4045" t="str">
        <f>T("   030760")</f>
        <v xml:space="preserve">   030760</v>
      </c>
      <c r="B4045" t="str">
        <f>T("   Escargots, même séparés de leur coquille, vivants, frais, réfrigérés, congelés, séchés, salés ou en saumure  (à l'excl. de mer)")</f>
        <v xml:space="preserve">   Escargots, même séparés de leur coquille, vivants, frais, réfrigérés, congelés, séchés, salés ou en saumure  (à l'excl. de mer)</v>
      </c>
      <c r="C4045">
        <v>2100385</v>
      </c>
      <c r="D4045">
        <v>1213</v>
      </c>
    </row>
    <row r="4046" spans="1:4" x14ac:dyDescent="0.25">
      <c r="A4046" t="str">
        <f>T("   040110")</f>
        <v xml:space="preserve">   040110</v>
      </c>
      <c r="B4046" t="str">
        <f>T("   LAIT ET CRÈME DE LAIT, NON-CONCENTRÉS NI ADDITIONNÉS DE SUCRE OU D'AUTRES ÉDULCORANTS, D'UNE TENEUR EN POIDS DE MATIÈRES GRASSES &lt;= 1%")</f>
        <v xml:space="preserve">   LAIT ET CRÈME DE LAIT, NON-CONCENTRÉS NI ADDITIONNÉS DE SUCRE OU D'AUTRES ÉDULCORANTS, D'UNE TENEUR EN POIDS DE MATIÈRES GRASSES &lt;= 1%</v>
      </c>
      <c r="C4046">
        <v>7876923</v>
      </c>
      <c r="D4046">
        <v>26074</v>
      </c>
    </row>
    <row r="4047" spans="1:4" x14ac:dyDescent="0.25">
      <c r="A4047" t="str">
        <f>T("   040120")</f>
        <v xml:space="preserve">   040120</v>
      </c>
      <c r="B4047" t="str">
        <f>T("   LAIT ET CRÈME DE LAIT, NON-CONCENTRÉS NI ADDITIONNÉS DE SUCRE OU D'AUTRES ÉDULCORANTS, D'UNE TENEUR EN POIDS DE MATIÈRES GRASSES &gt; 1% MAIS &lt;= 6%")</f>
        <v xml:space="preserve">   LAIT ET CRÈME DE LAIT, NON-CONCENTRÉS NI ADDITIONNÉS DE SUCRE OU D'AUTRES ÉDULCORANTS, D'UNE TENEUR EN POIDS DE MATIÈRES GRASSES &gt; 1% MAIS &lt;= 6%</v>
      </c>
      <c r="C4047">
        <v>275765807</v>
      </c>
      <c r="D4047">
        <v>692326.57</v>
      </c>
    </row>
    <row r="4048" spans="1:4" x14ac:dyDescent="0.25">
      <c r="A4048" t="str">
        <f>T("   040130")</f>
        <v xml:space="preserve">   040130</v>
      </c>
      <c r="B4048" t="str">
        <f>T("   LAIT ET CRÈME DE LAIT, NON-CONCENTRÉS NI ADDITIONNÉS DE SUCRE OU D'AUTRES ÉDULCORANTS, D'UNE TENEUR EN POIDS DE MATIÈRES GRASSES &gt; 6%")</f>
        <v xml:space="preserve">   LAIT ET CRÈME DE LAIT, NON-CONCENTRÉS NI ADDITIONNÉS DE SUCRE OU D'AUTRES ÉDULCORANTS, D'UNE TENEUR EN POIDS DE MATIÈRES GRASSES &gt; 6%</v>
      </c>
      <c r="C4048">
        <v>33615688</v>
      </c>
      <c r="D4048">
        <v>56555</v>
      </c>
    </row>
    <row r="4049" spans="1:4" x14ac:dyDescent="0.25">
      <c r="A4049" t="str">
        <f>T("   040210")</f>
        <v xml:space="preserve">   040210</v>
      </c>
      <c r="B4049" t="str">
        <f>T("   Lait et crème de lait, en poudre, en granulés ou sous d'autres formes solides, d'une teneur en poids de matières grasses &lt;= 1,5%")</f>
        <v xml:space="preserve">   Lait et crème de lait, en poudre, en granulés ou sous d'autres formes solides, d'une teneur en poids de matières grasses &lt;= 1,5%</v>
      </c>
      <c r="C4049">
        <v>86193284</v>
      </c>
      <c r="D4049">
        <v>56319</v>
      </c>
    </row>
    <row r="4050" spans="1:4" x14ac:dyDescent="0.25">
      <c r="A4050" t="str">
        <f>T("   040221")</f>
        <v xml:space="preserve">   040221</v>
      </c>
      <c r="B4050" t="str">
        <f>T("   Lait et crème de lait, en poudre, en granulés ou sous d'autres formes solides, d'une teneur en poids de matières grasses &gt; 1,5%, sans addition de sucre ou d'autres édulcorants")</f>
        <v xml:space="preserve">   Lait et crème de lait, en poudre, en granulés ou sous d'autres formes solides, d'une teneur en poids de matières grasses &gt; 1,5%, sans addition de sucre ou d'autres édulcorants</v>
      </c>
      <c r="C4050">
        <v>212030470</v>
      </c>
      <c r="D4050">
        <v>142961</v>
      </c>
    </row>
    <row r="4051" spans="1:4" x14ac:dyDescent="0.25">
      <c r="A4051" t="str">
        <f>T("   040229")</f>
        <v xml:space="preserve">   040229</v>
      </c>
      <c r="B4051" t="str">
        <f>T("   Lait et crème de lait, en poudre, en granulés ou sous d'autres formes solides, d'une teneur en poids de matières grasses &gt; 1,5%, avec addition de sucre ou d'autres édulcorants")</f>
        <v xml:space="preserve">   Lait et crème de lait, en poudre, en granulés ou sous d'autres formes solides, d'une teneur en poids de matières grasses &gt; 1,5%, avec addition de sucre ou d'autres édulcorants</v>
      </c>
      <c r="C4051">
        <v>27597106</v>
      </c>
      <c r="D4051">
        <v>16548</v>
      </c>
    </row>
    <row r="4052" spans="1:4" x14ac:dyDescent="0.25">
      <c r="A4052" t="str">
        <f>T("   040291")</f>
        <v xml:space="preserve">   040291</v>
      </c>
      <c r="B4052" t="str">
        <f>T("   Lait et crème de lait, concentrés, sans addition de sucre ou d'autres édulcorants (à l'excl. des laits et crèmes de lait en poudre, en granulés ou sous d'autres formes solides)")</f>
        <v xml:space="preserve">   Lait et crème de lait, concentrés, sans addition de sucre ou d'autres édulcorants (à l'excl. des laits et crèmes de lait en poudre, en granulés ou sous d'autres formes solides)</v>
      </c>
      <c r="C4052">
        <v>400000</v>
      </c>
      <c r="D4052">
        <v>350</v>
      </c>
    </row>
    <row r="4053" spans="1:4" x14ac:dyDescent="0.25">
      <c r="A4053" t="str">
        <f>T("   040299")</f>
        <v xml:space="preserve">   040299</v>
      </c>
      <c r="B4053" t="str">
        <f>T("   Lait et crème de lait, concentrés, additionnés de sucre ou d'autres édulcorants (à l'excl. des laits et crèmes de lait en poudre, en granulés ou sous d'autres formes solides)")</f>
        <v xml:space="preserve">   Lait et crème de lait, concentrés, additionnés de sucre ou d'autres édulcorants (à l'excl. des laits et crèmes de lait en poudre, en granulés ou sous d'autres formes solides)</v>
      </c>
      <c r="C4053">
        <v>4067858</v>
      </c>
      <c r="D4053">
        <v>15508</v>
      </c>
    </row>
    <row r="4054" spans="1:4" x14ac:dyDescent="0.25">
      <c r="A4054" t="str">
        <f>T("   040310")</f>
        <v xml:space="preserve">   040310</v>
      </c>
      <c r="B4054" t="str">
        <f>T("   Yoghourts, même additionnés de sucre ou d'autres édulcorants ou aromatisés ou additionnés de fruits ou de cacao")</f>
        <v xml:space="preserve">   Yoghourts, même additionnés de sucre ou d'autres édulcorants ou aromatisés ou additionnés de fruits ou de cacao</v>
      </c>
      <c r="C4054">
        <v>61515402</v>
      </c>
      <c r="D4054">
        <v>36894</v>
      </c>
    </row>
    <row r="4055" spans="1:4" x14ac:dyDescent="0.25">
      <c r="A4055" t="str">
        <f>T("   040390")</f>
        <v xml:space="preserve">   040390</v>
      </c>
      <c r="B4055" t="str">
        <f>T("   Babeurre, lait et crème caillés, képhir et autres laits et crèmes fermentés ou acidifiés, même concentrés ou additionnés de sucre ou d'autres édulcorants ou aromatisés ou additionnés de fruits ou de cacao (à l'excl. des yoghourts)")</f>
        <v xml:space="preserve">   Babeurre, lait et crème caillés, képhir et autres laits et crèmes fermentés ou acidifiés, même concentrés ou additionnés de sucre ou d'autres édulcorants ou aromatisés ou additionnés de fruits ou de cacao (à l'excl. des yoghourts)</v>
      </c>
      <c r="C4055">
        <v>46522315</v>
      </c>
      <c r="D4055">
        <v>81405.2</v>
      </c>
    </row>
    <row r="4056" spans="1:4" x14ac:dyDescent="0.25">
      <c r="A4056" t="str">
        <f>T("   040510")</f>
        <v xml:space="preserve">   040510</v>
      </c>
      <c r="B4056" t="str">
        <f>T("   Beurre (sauf beurre déshydraté et ghee)")</f>
        <v xml:space="preserve">   Beurre (sauf beurre déshydraté et ghee)</v>
      </c>
      <c r="C4056">
        <v>140576817</v>
      </c>
      <c r="D4056">
        <v>170478.48</v>
      </c>
    </row>
    <row r="4057" spans="1:4" x14ac:dyDescent="0.25">
      <c r="A4057" t="str">
        <f>T("   040520")</f>
        <v xml:space="preserve">   040520</v>
      </c>
      <c r="B4057" t="str">
        <f>T("   Pâtes à tartiner laitières d'une teneur en matières grasses laitières &gt;= 39% mais &lt; 80% en poids")</f>
        <v xml:space="preserve">   Pâtes à tartiner laitières d'une teneur en matières grasses laitières &gt;= 39% mais &lt; 80% en poids</v>
      </c>
      <c r="C4057">
        <v>4295881</v>
      </c>
      <c r="D4057">
        <v>5239</v>
      </c>
    </row>
    <row r="4058" spans="1:4" x14ac:dyDescent="0.25">
      <c r="A4058" t="str">
        <f>T("   040610")</f>
        <v xml:space="preserve">   040610</v>
      </c>
      <c r="B4058" t="str">
        <f>T("   FROMAGES FRAIS [NON-AFFINÉS], Y.C. LE FROMAGE DE LACTOSÉRUM, ET CAILLEBOTTE [01/01/1988-31/12/1991: FROMAGES FRAIS [NON AFFINES], Y.C. LE FROMAGE DE LACTOSERUM, NON FERMENTES, ET CAILLEBOTTE]")</f>
        <v xml:space="preserve">   FROMAGES FRAIS [NON-AFFINÉS], Y.C. LE FROMAGE DE LACTOSÉRUM, ET CAILLEBOTTE [01/01/1988-31/12/1991: FROMAGES FRAIS [NON AFFINES], Y.C. LE FROMAGE DE LACTOSERUM, NON FERMENTES, ET CAILLEBOTTE]</v>
      </c>
      <c r="C4058">
        <v>7411035</v>
      </c>
      <c r="D4058">
        <v>4519</v>
      </c>
    </row>
    <row r="4059" spans="1:4" x14ac:dyDescent="0.25">
      <c r="A4059" t="str">
        <f>T("   040630")</f>
        <v xml:space="preserve">   040630</v>
      </c>
      <c r="B4059" t="str">
        <f>T("   Fromages fondus (à l'excl. des fromages râpés ou en poudre)")</f>
        <v xml:space="preserve">   Fromages fondus (à l'excl. des fromages râpés ou en poudre)</v>
      </c>
      <c r="C4059">
        <v>23936002</v>
      </c>
      <c r="D4059">
        <v>34655</v>
      </c>
    </row>
    <row r="4060" spans="1:4" x14ac:dyDescent="0.25">
      <c r="A4060" t="str">
        <f>T("   040690")</f>
        <v xml:space="preserve">   040690</v>
      </c>
      <c r="B4060" t="s">
        <v>18</v>
      </c>
      <c r="C4060">
        <v>176585309</v>
      </c>
      <c r="D4060">
        <v>236714.05</v>
      </c>
    </row>
    <row r="4061" spans="1:4" x14ac:dyDescent="0.25">
      <c r="A4061" t="str">
        <f>T("   040900")</f>
        <v xml:space="preserve">   040900</v>
      </c>
      <c r="B4061" t="str">
        <f>T("   Miel naturel")</f>
        <v xml:space="preserve">   Miel naturel</v>
      </c>
      <c r="C4061">
        <v>2342749</v>
      </c>
      <c r="D4061">
        <v>1522</v>
      </c>
    </row>
    <row r="4062" spans="1:4" x14ac:dyDescent="0.25">
      <c r="A4062" t="str">
        <f>T("   050400")</f>
        <v xml:space="preserve">   050400</v>
      </c>
      <c r="B4062" t="str">
        <f>T("   Boyaux, vessies et estomacs d'animaux (autres que ceux de poissons), entiers ou en morceaux, à l'état frais, réfrigéré, congelé, salé ou en saumure, séché ou fumé")</f>
        <v xml:space="preserve">   Boyaux, vessies et estomacs d'animaux (autres que ceux de poissons), entiers ou en morceaux, à l'état frais, réfrigéré, congelé, salé ou en saumure, séché ou fumé</v>
      </c>
      <c r="C4062">
        <v>4054489</v>
      </c>
      <c r="D4062">
        <v>468</v>
      </c>
    </row>
    <row r="4063" spans="1:4" x14ac:dyDescent="0.25">
      <c r="A4063" t="str">
        <f>T("   060390")</f>
        <v xml:space="preserve">   060390</v>
      </c>
      <c r="B4063" t="str">
        <f>T("   Fleurs et boutons de fleurs, coupés, pour bouquets ou pour ornements, séchés, blanchis, teints, imprégnés ou autrement préparés")</f>
        <v xml:space="preserve">   Fleurs et boutons de fleurs, coupés, pour bouquets ou pour ornements, séchés, blanchis, teints, imprégnés ou autrement préparés</v>
      </c>
      <c r="C4063">
        <v>968364</v>
      </c>
      <c r="D4063">
        <v>210</v>
      </c>
    </row>
    <row r="4064" spans="1:4" x14ac:dyDescent="0.25">
      <c r="A4064" t="str">
        <f>T("   060499")</f>
        <v xml:space="preserve">   060499</v>
      </c>
      <c r="B4064" t="str">
        <f>T("   Feuillages, feuilles, rameaux et autres parties de plantes, sans fleurs ni boutons de fleurs, et herbes, pour bouquets ou pour ornements, séchés, blanchis, teints, imprégnés ou autrement travaillés")</f>
        <v xml:space="preserve">   Feuillages, feuilles, rameaux et autres parties de plantes, sans fleurs ni boutons de fleurs, et herbes, pour bouquets ou pour ornements, séchés, blanchis, teints, imprégnés ou autrement travaillés</v>
      </c>
      <c r="C4064">
        <v>200000</v>
      </c>
      <c r="D4064">
        <v>900</v>
      </c>
    </row>
    <row r="4065" spans="1:4" x14ac:dyDescent="0.25">
      <c r="A4065" t="str">
        <f>T("   070110")</f>
        <v xml:space="preserve">   070110</v>
      </c>
      <c r="B4065" t="str">
        <f>T("   Pommes de terre de semence")</f>
        <v xml:space="preserve">   Pommes de terre de semence</v>
      </c>
      <c r="C4065">
        <v>6444807</v>
      </c>
      <c r="D4065">
        <v>13860</v>
      </c>
    </row>
    <row r="4066" spans="1:4" x14ac:dyDescent="0.25">
      <c r="A4066" t="str">
        <f>T("   070190")</f>
        <v xml:space="preserve">   070190</v>
      </c>
      <c r="B4066" t="str">
        <f>T("   Pommes de terre, à l'état frais ou réfrigéré (à l'excl. des pommes de terre de semence)")</f>
        <v xml:space="preserve">   Pommes de terre, à l'état frais ou réfrigéré (à l'excl. des pommes de terre de semence)</v>
      </c>
      <c r="C4066">
        <v>23595289</v>
      </c>
      <c r="D4066">
        <v>90396</v>
      </c>
    </row>
    <row r="4067" spans="1:4" x14ac:dyDescent="0.25">
      <c r="A4067" t="str">
        <f>T("   070200")</f>
        <v xml:space="preserve">   070200</v>
      </c>
      <c r="B4067" t="str">
        <f>T("   Tomates, à l'état frais ou réfrigéré")</f>
        <v xml:space="preserve">   Tomates, à l'état frais ou réfrigéré</v>
      </c>
      <c r="C4067">
        <v>500000</v>
      </c>
      <c r="D4067">
        <v>530</v>
      </c>
    </row>
    <row r="4068" spans="1:4" x14ac:dyDescent="0.25">
      <c r="A4068" t="str">
        <f>T("   070390")</f>
        <v xml:space="preserve">   070390</v>
      </c>
      <c r="B4068" t="str">
        <f>T("   Poireaux et autres légumes alliacés, à l'état frais ou réfrigéré (à l'excl. des oignons, des échalotes et des aulx)")</f>
        <v xml:space="preserve">   Poireaux et autres légumes alliacés, à l'état frais ou réfrigéré (à l'excl. des oignons, des échalotes et des aulx)</v>
      </c>
      <c r="C4068">
        <v>131192</v>
      </c>
      <c r="D4068">
        <v>23</v>
      </c>
    </row>
    <row r="4069" spans="1:4" x14ac:dyDescent="0.25">
      <c r="A4069" t="str">
        <f>T("   070410")</f>
        <v xml:space="preserve">   070410</v>
      </c>
      <c r="B4069" t="str">
        <f>T("   Choux-fleurs et choux-fleurs brocolis, à l'état frais ou réfrigéré")</f>
        <v xml:space="preserve">   Choux-fleurs et choux-fleurs brocolis, à l'état frais ou réfrigéré</v>
      </c>
      <c r="C4069">
        <v>66252</v>
      </c>
      <c r="D4069">
        <v>147</v>
      </c>
    </row>
    <row r="4070" spans="1:4" x14ac:dyDescent="0.25">
      <c r="A4070" t="str">
        <f>T("   070490")</f>
        <v xml:space="preserve">   070490</v>
      </c>
      <c r="B4070" t="str">
        <f>T("   Choux, choux frisés, choux-raves et produits comestibles simil. du genre 'Brassica', à l'état frais ou réfrigéré (à l'excl. des choux-fleurs, des choux-fleurs brocolis et des choux de Bruxelles)")</f>
        <v xml:space="preserve">   Choux, choux frisés, choux-raves et produits comestibles simil. du genre 'Brassica', à l'état frais ou réfrigéré (à l'excl. des choux-fleurs, des choux-fleurs brocolis et des choux de Bruxelles)</v>
      </c>
      <c r="C4070">
        <v>9272652</v>
      </c>
      <c r="D4070">
        <v>4002</v>
      </c>
    </row>
    <row r="4071" spans="1:4" x14ac:dyDescent="0.25">
      <c r="A4071" t="str">
        <f>T("   070511")</f>
        <v xml:space="preserve">   070511</v>
      </c>
      <c r="B4071" t="str">
        <f>T("   Laitues pommées, à l'état frais ou réfrigéré")</f>
        <v xml:space="preserve">   Laitues pommées, à l'état frais ou réfrigéré</v>
      </c>
      <c r="C4071">
        <v>181549</v>
      </c>
      <c r="D4071">
        <v>1800</v>
      </c>
    </row>
    <row r="4072" spans="1:4" x14ac:dyDescent="0.25">
      <c r="A4072" t="str">
        <f>T("   070519")</f>
        <v xml:space="preserve">   070519</v>
      </c>
      <c r="B4072" t="str">
        <f>T("   Laitues 'Lactuca sativa', à l'état frais ou réfrigéré (à l'excl. des laitues pommées)")</f>
        <v xml:space="preserve">   Laitues 'Lactuca sativa', à l'état frais ou réfrigéré (à l'excl. des laitues pommées)</v>
      </c>
      <c r="C4072">
        <v>16619400</v>
      </c>
      <c r="D4072">
        <v>7035</v>
      </c>
    </row>
    <row r="4073" spans="1:4" x14ac:dyDescent="0.25">
      <c r="A4073" t="str">
        <f>T("   070529")</f>
        <v xml:space="preserve">   070529</v>
      </c>
      <c r="B4073" t="str">
        <f>T("   Chicorées 'Cichorium spp.', à l'état frais ou réfrigéré (à l'excl. des witloofs 'Cichorium intybus var. foliosum')")</f>
        <v xml:space="preserve">   Chicorées 'Cichorium spp.', à l'état frais ou réfrigéré (à l'excl. des witloofs 'Cichorium intybus var. foliosum')</v>
      </c>
      <c r="C4073">
        <v>26238</v>
      </c>
      <c r="D4073">
        <v>50</v>
      </c>
    </row>
    <row r="4074" spans="1:4" x14ac:dyDescent="0.25">
      <c r="A4074" t="str">
        <f>T("   070610")</f>
        <v xml:space="preserve">   070610</v>
      </c>
      <c r="B4074" t="str">
        <f>T("   Carottes et navets, à l'état frais ou réfrigéré")</f>
        <v xml:space="preserve">   Carottes et navets, à l'état frais ou réfrigéré</v>
      </c>
      <c r="C4074">
        <v>1477221</v>
      </c>
      <c r="D4074">
        <v>1056</v>
      </c>
    </row>
    <row r="4075" spans="1:4" x14ac:dyDescent="0.25">
      <c r="A4075" t="str">
        <f>T("   070690")</f>
        <v xml:space="preserve">   070690</v>
      </c>
      <c r="B4075" t="str">
        <f>T("   Betteraves à salade, salsifis, céleris-raves, radis et racines comestibles simil., à l'état frais ou réfrigéré (à l'excl. des carottes et des navets)")</f>
        <v xml:space="preserve">   Betteraves à salade, salsifis, céleris-raves, radis et racines comestibles simil., à l'état frais ou réfrigéré (à l'excl. des carottes et des navets)</v>
      </c>
      <c r="C4075">
        <v>250000</v>
      </c>
      <c r="D4075">
        <v>200</v>
      </c>
    </row>
    <row r="4076" spans="1:4" x14ac:dyDescent="0.25">
      <c r="A4076" t="str">
        <f>T("   070810")</f>
        <v xml:space="preserve">   070810</v>
      </c>
      <c r="B4076" t="str">
        <f>T("   Pois 'Pisum sativum', écossés ou non, à l'état frais ou réfrigéré")</f>
        <v xml:space="preserve">   Pois 'Pisum sativum', écossés ou non, à l'état frais ou réfrigéré</v>
      </c>
      <c r="C4076">
        <v>4611893</v>
      </c>
      <c r="D4076">
        <v>52245</v>
      </c>
    </row>
    <row r="4077" spans="1:4" x14ac:dyDescent="0.25">
      <c r="A4077" t="str">
        <f>T("   070890")</f>
        <v xml:space="preserve">   070890</v>
      </c>
      <c r="B4077" t="str">
        <f>T("   Légumes à cosse, écossés ou non, à l'état frais ou réfrigéré (à l'excl. des pois 'Pisum sativum' et des haricots 'Vigna spp., Phaseolus spp.')")</f>
        <v xml:space="preserve">   Légumes à cosse, écossés ou non, à l'état frais ou réfrigéré (à l'excl. des pois 'Pisum sativum' et des haricots 'Vigna spp., Phaseolus spp.')</v>
      </c>
      <c r="C4077">
        <v>732052</v>
      </c>
      <c r="D4077">
        <v>3720</v>
      </c>
    </row>
    <row r="4078" spans="1:4" x14ac:dyDescent="0.25">
      <c r="A4078" t="str">
        <f>T("   070959")</f>
        <v xml:space="preserve">   070959</v>
      </c>
      <c r="B4078" t="str">
        <f>T("   CHAMPIGNONS ET TRUFFES COMESTIBLES, À L'ÉTAT FRAIS OU RÉFRIGÉRÉ (À L'EXCL. DES CHAMPIGNONS DU GENRE 'AGARICUS')")</f>
        <v xml:space="preserve">   CHAMPIGNONS ET TRUFFES COMESTIBLES, À L'ÉTAT FRAIS OU RÉFRIGÉRÉ (À L'EXCL. DES CHAMPIGNONS DU GENRE 'AGARICUS')</v>
      </c>
      <c r="C4078">
        <v>1854942</v>
      </c>
      <c r="D4078">
        <v>6695</v>
      </c>
    </row>
    <row r="4079" spans="1:4" x14ac:dyDescent="0.25">
      <c r="A4079" t="str">
        <f>T("   070990")</f>
        <v xml:space="preserve">   070990</v>
      </c>
      <c r="B4079" t="s">
        <v>19</v>
      </c>
      <c r="C4079">
        <v>4030676</v>
      </c>
      <c r="D4079">
        <v>2977</v>
      </c>
    </row>
    <row r="4080" spans="1:4" x14ac:dyDescent="0.25">
      <c r="A4080" t="str">
        <f>T("   071010")</f>
        <v xml:space="preserve">   071010</v>
      </c>
      <c r="B4080" t="str">
        <f>T("   Pommes de terre, non cuites ou cuites à l'eau ou à la vapeur, congelées")</f>
        <v xml:space="preserve">   Pommes de terre, non cuites ou cuites à l'eau ou à la vapeur, congelées</v>
      </c>
      <c r="C4080">
        <v>40521315</v>
      </c>
      <c r="D4080">
        <v>108364</v>
      </c>
    </row>
    <row r="4081" spans="1:4" x14ac:dyDescent="0.25">
      <c r="A4081" t="str">
        <f>T("   071021")</f>
        <v xml:space="preserve">   071021</v>
      </c>
      <c r="B4081" t="str">
        <f>T("   Pois 'Pisum sativum', écossés ou non, non cuits ou cuits à l'eau ou à la vapeur, congelés")</f>
        <v xml:space="preserve">   Pois 'Pisum sativum', écossés ou non, non cuits ou cuits à l'eau ou à la vapeur, congelés</v>
      </c>
      <c r="C4081">
        <v>1459511</v>
      </c>
      <c r="D4081">
        <v>6660</v>
      </c>
    </row>
    <row r="4082" spans="1:4" x14ac:dyDescent="0.25">
      <c r="A4082" t="str">
        <f>T("   071022")</f>
        <v xml:space="preserve">   071022</v>
      </c>
      <c r="B4082" t="str">
        <f>T("   Haricots 'Vigna spp., Phaseolus spp.', écossés ou non, non cuits ou cuits à l'eau ou à la vapeur, congelés")</f>
        <v xml:space="preserve">   Haricots 'Vigna spp., Phaseolus spp.', écossés ou non, non cuits ou cuits à l'eau ou à la vapeur, congelés</v>
      </c>
      <c r="C4082">
        <v>1204999</v>
      </c>
      <c r="D4082">
        <v>3510</v>
      </c>
    </row>
    <row r="4083" spans="1:4" x14ac:dyDescent="0.25">
      <c r="A4083" t="str">
        <f>T("   071029")</f>
        <v xml:space="preserve">   071029</v>
      </c>
      <c r="B4083" t="str">
        <f>T("   Légumes à cosse, écossés ou non, non cuits ou cuits à l'eau ou à la vapeur, congelés (à l'excl. des pois 'Pisum sativum' et des haricots 'Vigna spp., Phaseolus spp.')")</f>
        <v xml:space="preserve">   Légumes à cosse, écossés ou non, non cuits ou cuits à l'eau ou à la vapeur, congelés (à l'excl. des pois 'Pisum sativum' et des haricots 'Vigna spp., Phaseolus spp.')</v>
      </c>
      <c r="C4083">
        <v>3342115</v>
      </c>
      <c r="D4083">
        <v>2282</v>
      </c>
    </row>
    <row r="4084" spans="1:4" x14ac:dyDescent="0.25">
      <c r="A4084" t="str">
        <f>T("   071080")</f>
        <v xml:space="preserve">   071080</v>
      </c>
      <c r="B4084" t="str">
        <f>T("   LÉGUMES, NON-CUITS OU CUITS À L'EAU OU À LA VAPEUR, CONGELÉS (À L'EXCL. DES POMMES DE TERRE, DES LÉGUMES À COSSE, DES ÉPINARDS, DES TÉTRAGONES, DES ARROCHES ET DU MAÏS DOUX)")</f>
        <v xml:space="preserve">   LÉGUMES, NON-CUITS OU CUITS À L'EAU OU À LA VAPEUR, CONGELÉS (À L'EXCL. DES POMMES DE TERRE, DES LÉGUMES À COSSE, DES ÉPINARDS, DES TÉTRAGONES, DES ARROCHES ET DU MAÏS DOUX)</v>
      </c>
      <c r="C4084">
        <v>2127935</v>
      </c>
      <c r="D4084">
        <v>935</v>
      </c>
    </row>
    <row r="4085" spans="1:4" x14ac:dyDescent="0.25">
      <c r="A4085" t="str">
        <f>T("   071090")</f>
        <v xml:space="preserve">   071090</v>
      </c>
      <c r="B4085" t="str">
        <f>T("   Mélanges de légumes, non cuits ou cuits à l'eau ou à la vapeur, congelés")</f>
        <v xml:space="preserve">   Mélanges de légumes, non cuits ou cuits à l'eau ou à la vapeur, congelés</v>
      </c>
      <c r="C4085">
        <v>11773911</v>
      </c>
      <c r="D4085">
        <v>26874</v>
      </c>
    </row>
    <row r="4086" spans="1:4" x14ac:dyDescent="0.25">
      <c r="A4086" t="str">
        <f>T("   071120")</f>
        <v xml:space="preserve">   071120</v>
      </c>
      <c r="B4086" t="str">
        <f>T("   Olives, conservées provisoirement [p.ex. au moyen de gaz sulfureux ou dans de l'eau salée, soufrée ou additionnée d'autres substances servant à assurer provisoirement leur conservation], mais impropres à l'alimentation en l'état")</f>
        <v xml:space="preserve">   Olives, conservées provisoirement [p.ex. au moyen de gaz sulfureux ou dans de l'eau salée, soufrée ou additionnée d'autres substances servant à assurer provisoirement leur conservation], mais impropres à l'alimentation en l'état</v>
      </c>
      <c r="C4086">
        <v>1981655</v>
      </c>
      <c r="D4086">
        <v>1511</v>
      </c>
    </row>
    <row r="4087" spans="1:4" x14ac:dyDescent="0.25">
      <c r="A4087" t="str">
        <f>T("   071140")</f>
        <v xml:space="preserve">   071140</v>
      </c>
      <c r="B4087" t="str">
        <f>T("   Concombres et cornichons, conservés provisoirement [p.ex. au moyen de gaz sulfureux ou dans de l'eau salée, soufrée ou additionnée d'autres substances servant à assurer provisoirement leur conservation], mais impropres à l'alimentation en l'état")</f>
        <v xml:space="preserve">   Concombres et cornichons, conservés provisoirement [p.ex. au moyen de gaz sulfureux ou dans de l'eau salée, soufrée ou additionnée d'autres substances servant à assurer provisoirement leur conservation], mais impropres à l'alimentation en l'état</v>
      </c>
      <c r="C4087">
        <v>250000</v>
      </c>
      <c r="D4087">
        <v>452</v>
      </c>
    </row>
    <row r="4088" spans="1:4" x14ac:dyDescent="0.25">
      <c r="A4088" t="str">
        <f>T("   071190")</f>
        <v xml:space="preserve">   071190</v>
      </c>
      <c r="B4088" t="s">
        <v>20</v>
      </c>
      <c r="C4088">
        <v>4686834</v>
      </c>
      <c r="D4088">
        <v>9340</v>
      </c>
    </row>
    <row r="4089" spans="1:4" x14ac:dyDescent="0.25">
      <c r="A4089" t="str">
        <f>T("   071231")</f>
        <v xml:space="preserve">   071231</v>
      </c>
      <c r="B4089" t="str">
        <f>T("   Champignons du genre 'Agaricus', séchés, même coupés en morceaux ou en tranches ou bien broyés ou pulvérisés, mais non autrement préparés")</f>
        <v xml:space="preserve">   Champignons du genre 'Agaricus', séchés, même coupés en morceaux ou en tranches ou bien broyés ou pulvérisés, mais non autrement préparés</v>
      </c>
      <c r="C4089">
        <v>390952</v>
      </c>
      <c r="D4089">
        <v>2102</v>
      </c>
    </row>
    <row r="4090" spans="1:4" x14ac:dyDescent="0.25">
      <c r="A4090" t="str">
        <f>T("   071290")</f>
        <v xml:space="preserve">   071290</v>
      </c>
      <c r="B4090" t="str">
        <f>T("   LÉGUMES ET MÉLANGES DE LÉGUMES, SÉCHÉS, MÊME COUPÉS EN MORCEAUX OU EN TRANCHES OU BIEN BROYÉS OU PULVÉRISÉS, MAIS NON AUTREMENT PRÉPARÉS (À L'EXCL. DES OIGNONS, DES CHAMPIGNONS ET DES TRUFFES, NON-MÉLANGÉS)")</f>
        <v xml:space="preserve">   LÉGUMES ET MÉLANGES DE LÉGUMES, SÉCHÉS, MÊME COUPÉS EN MORCEAUX OU EN TRANCHES OU BIEN BROYÉS OU PULVÉRISÉS, MAIS NON AUTREMENT PRÉPARÉS (À L'EXCL. DES OIGNONS, DES CHAMPIGNONS ET DES TRUFFES, NON-MÉLANGÉS)</v>
      </c>
      <c r="C4090">
        <v>3261435</v>
      </c>
      <c r="D4090">
        <v>2922</v>
      </c>
    </row>
    <row r="4091" spans="1:4" x14ac:dyDescent="0.25">
      <c r="A4091" t="str">
        <f>T("   071310")</f>
        <v xml:space="preserve">   071310</v>
      </c>
      <c r="B4091" t="str">
        <f>T("   Pois 'Pisum sativum', secs, écossés, même décortiqués ou cassés")</f>
        <v xml:space="preserve">   Pois 'Pisum sativum', secs, écossés, même décortiqués ou cassés</v>
      </c>
      <c r="C4091">
        <v>512304</v>
      </c>
      <c r="D4091">
        <v>238</v>
      </c>
    </row>
    <row r="4092" spans="1:4" x14ac:dyDescent="0.25">
      <c r="A4092" t="str">
        <f>T("   071333")</f>
        <v xml:space="preserve">   071333</v>
      </c>
      <c r="B4092" t="str">
        <f>T("   Haricots communs 'Phaseolus vulgaris', secs, écossés, même décortiqués ou cassés")</f>
        <v xml:space="preserve">   Haricots communs 'Phaseolus vulgaris', secs, écossés, même décortiqués ou cassés</v>
      </c>
      <c r="C4092">
        <v>330603</v>
      </c>
      <c r="D4092">
        <v>12</v>
      </c>
    </row>
    <row r="4093" spans="1:4" x14ac:dyDescent="0.25">
      <c r="A4093" t="str">
        <f>T("   071340")</f>
        <v xml:space="preserve">   071340</v>
      </c>
      <c r="B4093" t="str">
        <f>T("   Lentilles, séchées, écossées, même décortiquées ou cassées")</f>
        <v xml:space="preserve">   Lentilles, séchées, écossées, même décortiquées ou cassées</v>
      </c>
      <c r="C4093">
        <v>317485</v>
      </c>
      <c r="D4093">
        <v>347</v>
      </c>
    </row>
    <row r="4094" spans="1:4" x14ac:dyDescent="0.25">
      <c r="A4094" t="str">
        <f>T("   071390")</f>
        <v xml:space="preserve">   071390</v>
      </c>
      <c r="B4094" t="str">
        <f>T("   Légumes à cosse secs, écossés, même décortiqués ou cassés (à l'excl. des pois, des pois chiches, des haricots, des lentilles, des fèves et des féveroles)")</f>
        <v xml:space="preserve">   Légumes à cosse secs, écossés, même décortiqués ou cassés (à l'excl. des pois, des pois chiches, des haricots, des lentilles, des fèves et des féveroles)</v>
      </c>
      <c r="C4094">
        <v>1214182</v>
      </c>
      <c r="D4094">
        <v>454</v>
      </c>
    </row>
    <row r="4095" spans="1:4" x14ac:dyDescent="0.25">
      <c r="A4095" t="str">
        <f>T("   071420")</f>
        <v xml:space="preserve">   071420</v>
      </c>
      <c r="B4095" t="str">
        <f>T("   Patates douces, fraîches, réfrigérées, congelées ou séchées, même débitées en morceaux ou agglomérées sous forme de pellets")</f>
        <v xml:space="preserve">   Patates douces, fraîches, réfrigérées, congelées ou séchées, même débitées en morceaux ou agglomérées sous forme de pellets</v>
      </c>
      <c r="C4095">
        <v>131192</v>
      </c>
      <c r="D4095">
        <v>5</v>
      </c>
    </row>
    <row r="4096" spans="1:4" x14ac:dyDescent="0.25">
      <c r="A4096" t="str">
        <f>T("   080111")</f>
        <v xml:space="preserve">   080111</v>
      </c>
      <c r="B4096" t="str">
        <f>T("   Noix de coco, desséchées")</f>
        <v xml:space="preserve">   Noix de coco, desséchées</v>
      </c>
      <c r="C4096">
        <v>489346</v>
      </c>
      <c r="D4096">
        <v>184</v>
      </c>
    </row>
    <row r="4097" spans="1:4" x14ac:dyDescent="0.25">
      <c r="A4097" t="str">
        <f>T("   080122")</f>
        <v xml:space="preserve">   080122</v>
      </c>
      <c r="B4097" t="str">
        <f>T("   Noix du Brésil, fraîches ou sèches, sans coques")</f>
        <v xml:space="preserve">   Noix du Brésil, fraîches ou sèches, sans coques</v>
      </c>
      <c r="C4097">
        <v>156604</v>
      </c>
      <c r="D4097">
        <v>250</v>
      </c>
    </row>
    <row r="4098" spans="1:4" x14ac:dyDescent="0.25">
      <c r="A4098" t="str">
        <f>T("   080212")</f>
        <v xml:space="preserve">   080212</v>
      </c>
      <c r="B4098" t="str">
        <f>T("   Amandes, fraîches ou sèches, sans coques, même décortiquées")</f>
        <v xml:space="preserve">   Amandes, fraîches ou sèches, sans coques, même décortiquées</v>
      </c>
      <c r="C4098">
        <v>411287</v>
      </c>
      <c r="D4098">
        <v>122</v>
      </c>
    </row>
    <row r="4099" spans="1:4" x14ac:dyDescent="0.25">
      <c r="A4099" t="str">
        <f>T("   080290")</f>
        <v xml:space="preserve">   080290</v>
      </c>
      <c r="B4099" t="str">
        <f>T("   FRUITS À COQUES, FRAIS OU SECS, MÊME SANS LEURS COQUES OU DÉCORTIQUÉS (À L'EXCL. DES NOIX DE COCO, DU BRÉSIL OU DE CAJOU AINSI QUE DES AMANDES, DES NOISETTES, DES NOIX COMMUNES, DES CHÂTAIGNES, DES MARRONS, DES PISTACHESE ET DES NOIX MACADAMIA)")</f>
        <v xml:space="preserve">   FRUITS À COQUES, FRAIS OU SECS, MÊME SANS LEURS COQUES OU DÉCORTIQUÉS (À L'EXCL. DES NOIX DE COCO, DU BRÉSIL OU DE CAJOU AINSI QUE DES AMANDES, DES NOISETTES, DES NOIX COMMUNES, DES CHÂTAIGNES, DES MARRONS, DES PISTACHESE ET DES NOIX MACADAMIA)</v>
      </c>
      <c r="C4099">
        <v>449989</v>
      </c>
      <c r="D4099">
        <v>613</v>
      </c>
    </row>
    <row r="4100" spans="1:4" x14ac:dyDescent="0.25">
      <c r="A4100" t="str">
        <f>T("   080410")</f>
        <v xml:space="preserve">   080410</v>
      </c>
      <c r="B4100" t="str">
        <f>T("   Dattes, fraîches ou sèches")</f>
        <v xml:space="preserve">   Dattes, fraîches ou sèches</v>
      </c>
      <c r="C4100">
        <v>2668931</v>
      </c>
      <c r="D4100">
        <v>4865</v>
      </c>
    </row>
    <row r="4101" spans="1:4" x14ac:dyDescent="0.25">
      <c r="A4101" t="str">
        <f>T("   080420")</f>
        <v xml:space="preserve">   080420</v>
      </c>
      <c r="B4101" t="str">
        <f>T("   Figues, fraîches ou sèches")</f>
        <v xml:space="preserve">   Figues, fraîches ou sèches</v>
      </c>
      <c r="C4101">
        <v>213187</v>
      </c>
      <c r="D4101">
        <v>210</v>
      </c>
    </row>
    <row r="4102" spans="1:4" x14ac:dyDescent="0.25">
      <c r="A4102" t="str">
        <f>T("   080510")</f>
        <v xml:space="preserve">   080510</v>
      </c>
      <c r="B4102" t="str">
        <f>T("   Oranges, fraîches ou sèches")</f>
        <v xml:space="preserve">   Oranges, fraîches ou sèches</v>
      </c>
      <c r="C4102">
        <v>899977</v>
      </c>
      <c r="D4102">
        <v>945</v>
      </c>
    </row>
    <row r="4103" spans="1:4" x14ac:dyDescent="0.25">
      <c r="A4103" t="str">
        <f>T("   080520")</f>
        <v xml:space="preserve">   080520</v>
      </c>
      <c r="B4103" t="str">
        <f>T("   Mandarines, y.c. les tangerines et les satsumas; clémentines, wilkings et hybrides simil. d'agrumes, frais ou secs")</f>
        <v xml:space="preserve">   Mandarines, y.c. les tangerines et les satsumas; clémentines, wilkings et hybrides simil. d'agrumes, frais ou secs</v>
      </c>
      <c r="C4103">
        <v>895385</v>
      </c>
      <c r="D4103">
        <v>355</v>
      </c>
    </row>
    <row r="4104" spans="1:4" x14ac:dyDescent="0.25">
      <c r="A4104" t="str">
        <f>T("   080540")</f>
        <v xml:space="preserve">   080540</v>
      </c>
      <c r="B4104" t="str">
        <f>T("   Pamplemousses et pomélos, frais ou secs")</f>
        <v xml:space="preserve">   Pamplemousses et pomélos, frais ou secs</v>
      </c>
      <c r="C4104">
        <v>402103</v>
      </c>
      <c r="D4104">
        <v>185</v>
      </c>
    </row>
    <row r="4105" spans="1:4" x14ac:dyDescent="0.25">
      <c r="A4105" t="str">
        <f>T("   080550")</f>
        <v xml:space="preserve">   080550</v>
      </c>
      <c r="B4105" t="s">
        <v>21</v>
      </c>
      <c r="C4105">
        <v>774689</v>
      </c>
      <c r="D4105">
        <v>249</v>
      </c>
    </row>
    <row r="4106" spans="1:4" x14ac:dyDescent="0.25">
      <c r="A4106" t="str">
        <f>T("   080590")</f>
        <v xml:space="preserve">   080590</v>
      </c>
      <c r="B4106" t="s">
        <v>22</v>
      </c>
      <c r="C4106">
        <v>849468</v>
      </c>
      <c r="D4106">
        <v>357</v>
      </c>
    </row>
    <row r="4107" spans="1:4" x14ac:dyDescent="0.25">
      <c r="A4107" t="str">
        <f>T("   080610")</f>
        <v xml:space="preserve">   080610</v>
      </c>
      <c r="B4107" t="str">
        <f>T("   Raisins, frais")</f>
        <v xml:space="preserve">   Raisins, frais</v>
      </c>
      <c r="C4107">
        <v>77176645</v>
      </c>
      <c r="D4107">
        <v>208391</v>
      </c>
    </row>
    <row r="4108" spans="1:4" x14ac:dyDescent="0.25">
      <c r="A4108" t="str">
        <f>T("   080620")</f>
        <v xml:space="preserve">   080620</v>
      </c>
      <c r="B4108" t="str">
        <f>T("   Raisins, secs")</f>
        <v xml:space="preserve">   Raisins, secs</v>
      </c>
      <c r="C4108">
        <v>5556073</v>
      </c>
      <c r="D4108">
        <v>5998</v>
      </c>
    </row>
    <row r="4109" spans="1:4" x14ac:dyDescent="0.25">
      <c r="A4109" t="str">
        <f>T("   080719")</f>
        <v xml:space="preserve">   080719</v>
      </c>
      <c r="B4109" t="str">
        <f>T("   Melons, frais (à l'excl. des pastèques)")</f>
        <v xml:space="preserve">   Melons, frais (à l'excl. des pastèques)</v>
      </c>
      <c r="C4109">
        <v>3762588</v>
      </c>
      <c r="D4109">
        <v>1549</v>
      </c>
    </row>
    <row r="4110" spans="1:4" x14ac:dyDescent="0.25">
      <c r="A4110" t="str">
        <f>T("   080810")</f>
        <v xml:space="preserve">   080810</v>
      </c>
      <c r="B4110" t="str">
        <f>T("   Pommes, fraîches")</f>
        <v xml:space="preserve">   Pommes, fraîches</v>
      </c>
      <c r="C4110">
        <v>183551765</v>
      </c>
      <c r="D4110">
        <v>559609</v>
      </c>
    </row>
    <row r="4111" spans="1:4" x14ac:dyDescent="0.25">
      <c r="A4111" t="str">
        <f>T("   080820")</f>
        <v xml:space="preserve">   080820</v>
      </c>
      <c r="B4111" t="str">
        <f>T("   Poires et coings, frais")</f>
        <v xml:space="preserve">   Poires et coings, frais</v>
      </c>
      <c r="C4111">
        <v>773311</v>
      </c>
      <c r="D4111">
        <v>1093</v>
      </c>
    </row>
    <row r="4112" spans="1:4" x14ac:dyDescent="0.25">
      <c r="A4112" t="str">
        <f>T("   080910")</f>
        <v xml:space="preserve">   080910</v>
      </c>
      <c r="B4112" t="str">
        <f>T("   Abricots, frais")</f>
        <v xml:space="preserve">   Abricots, frais</v>
      </c>
      <c r="C4112">
        <v>615290</v>
      </c>
      <c r="D4112">
        <v>257</v>
      </c>
    </row>
    <row r="4113" spans="1:4" x14ac:dyDescent="0.25">
      <c r="A4113" t="str">
        <f>T("   080930")</f>
        <v xml:space="preserve">   080930</v>
      </c>
      <c r="B4113" t="str">
        <f>T("   Pêches, y.c. les brugnons et nectarines, fraîches")</f>
        <v xml:space="preserve">   Pêches, y.c. les brugnons et nectarines, fraîches</v>
      </c>
      <c r="C4113">
        <v>369305</v>
      </c>
      <c r="D4113">
        <v>184</v>
      </c>
    </row>
    <row r="4114" spans="1:4" x14ac:dyDescent="0.25">
      <c r="A4114" t="str">
        <f>T("   080940")</f>
        <v xml:space="preserve">   080940</v>
      </c>
      <c r="B4114" t="str">
        <f>T("   Prunes et prunelles, fraîches")</f>
        <v xml:space="preserve">   Prunes et prunelles, fraîches</v>
      </c>
      <c r="C4114">
        <v>3033946</v>
      </c>
      <c r="D4114">
        <v>1323</v>
      </c>
    </row>
    <row r="4115" spans="1:4" x14ac:dyDescent="0.25">
      <c r="A4115" t="str">
        <f>T("   081010")</f>
        <v xml:space="preserve">   081010</v>
      </c>
      <c r="B4115" t="str">
        <f>T("   Fraises, fraîches")</f>
        <v xml:space="preserve">   Fraises, fraîches</v>
      </c>
      <c r="C4115">
        <v>678919</v>
      </c>
      <c r="D4115">
        <v>338</v>
      </c>
    </row>
    <row r="4116" spans="1:4" x14ac:dyDescent="0.25">
      <c r="A4116" t="str">
        <f>T("   081020")</f>
        <v xml:space="preserve">   081020</v>
      </c>
      <c r="B4116" t="str">
        <f>T("   Framboises, mûres de ronce ou de mûrier et mûres-framboises, fraîches")</f>
        <v xml:space="preserve">   Framboises, mûres de ronce ou de mûrier et mûres-framboises, fraîches</v>
      </c>
      <c r="C4116">
        <v>65596</v>
      </c>
      <c r="D4116">
        <v>90</v>
      </c>
    </row>
    <row r="4117" spans="1:4" x14ac:dyDescent="0.25">
      <c r="A4117" t="str">
        <f>T("   081050")</f>
        <v xml:space="preserve">   081050</v>
      </c>
      <c r="B4117" t="str">
        <f>T("   Kiwis, frais")</f>
        <v xml:space="preserve">   Kiwis, frais</v>
      </c>
      <c r="C4117">
        <v>901945</v>
      </c>
      <c r="D4117">
        <v>374</v>
      </c>
    </row>
    <row r="4118" spans="1:4" x14ac:dyDescent="0.25">
      <c r="A4118" t="str">
        <f>T("   081090")</f>
        <v xml:space="preserve">   081090</v>
      </c>
      <c r="B4118" t="s">
        <v>23</v>
      </c>
      <c r="C4118">
        <v>2590439</v>
      </c>
      <c r="D4118">
        <v>10788</v>
      </c>
    </row>
    <row r="4119" spans="1:4" x14ac:dyDescent="0.25">
      <c r="A4119" t="str">
        <f>T("   081190")</f>
        <v xml:space="preserve">   081190</v>
      </c>
      <c r="B4119" t="s">
        <v>24</v>
      </c>
      <c r="C4119">
        <v>956389</v>
      </c>
      <c r="D4119">
        <v>622</v>
      </c>
    </row>
    <row r="4120" spans="1:4" x14ac:dyDescent="0.25">
      <c r="A4120" t="str">
        <f>T("   081320")</f>
        <v xml:space="preserve">   081320</v>
      </c>
      <c r="B4120" t="str">
        <f>T("   Pruneaux, séchés")</f>
        <v xml:space="preserve">   Pruneaux, séchés</v>
      </c>
      <c r="C4120">
        <v>415223</v>
      </c>
      <c r="D4120">
        <v>132</v>
      </c>
    </row>
    <row r="4121" spans="1:4" x14ac:dyDescent="0.25">
      <c r="A4121" t="str">
        <f>T("   081330")</f>
        <v xml:space="preserve">   081330</v>
      </c>
      <c r="B4121" t="str">
        <f>T("   Pommes, séchées")</f>
        <v xml:space="preserve">   Pommes, séchées</v>
      </c>
      <c r="C4121">
        <v>1060031</v>
      </c>
      <c r="D4121">
        <v>437</v>
      </c>
    </row>
    <row r="4122" spans="1:4" x14ac:dyDescent="0.25">
      <c r="A4122" t="str">
        <f>T("   090111")</f>
        <v xml:space="preserve">   090111</v>
      </c>
      <c r="B4122" t="str">
        <f>T("   Café, non torréfié, non décaféiné")</f>
        <v xml:space="preserve">   Café, non torréfié, non décaféiné</v>
      </c>
      <c r="C4122">
        <v>3428048</v>
      </c>
      <c r="D4122">
        <v>2819</v>
      </c>
    </row>
    <row r="4123" spans="1:4" x14ac:dyDescent="0.25">
      <c r="A4123" t="str">
        <f>T("   090112")</f>
        <v xml:space="preserve">   090112</v>
      </c>
      <c r="B4123" t="str">
        <f>T("   Café, non torréfié, décaféiné")</f>
        <v xml:space="preserve">   Café, non torréfié, décaféiné</v>
      </c>
      <c r="C4123">
        <v>1284350</v>
      </c>
      <c r="D4123">
        <v>2306</v>
      </c>
    </row>
    <row r="4124" spans="1:4" x14ac:dyDescent="0.25">
      <c r="A4124" t="str">
        <f>T("   090121")</f>
        <v xml:space="preserve">   090121</v>
      </c>
      <c r="B4124" t="str">
        <f>T("   Café, torréfié, non décaféiné")</f>
        <v xml:space="preserve">   Café, torréfié, non décaféiné</v>
      </c>
      <c r="C4124">
        <v>23944385</v>
      </c>
      <c r="D4124">
        <v>24967</v>
      </c>
    </row>
    <row r="4125" spans="1:4" x14ac:dyDescent="0.25">
      <c r="A4125" t="str">
        <f>T("   090190")</f>
        <v xml:space="preserve">   090190</v>
      </c>
      <c r="B4125" t="str">
        <f>T("   Coques et pellicules de café; succédanés du café contenant du café, quelles que soient les proportions du mélange")</f>
        <v xml:space="preserve">   Coques et pellicules de café; succédanés du café contenant du café, quelles que soient les proportions du mélange</v>
      </c>
      <c r="C4125">
        <v>303054</v>
      </c>
      <c r="D4125">
        <v>966</v>
      </c>
    </row>
    <row r="4126" spans="1:4" x14ac:dyDescent="0.25">
      <c r="A4126" t="str">
        <f>T("   090210")</f>
        <v xml:space="preserve">   090210</v>
      </c>
      <c r="B4126" t="str">
        <f>T("   Thé vert [thé non fermenté], présenté en emballages immédiats d'un contenu &lt;= 3 kg")</f>
        <v xml:space="preserve">   Thé vert [thé non fermenté], présenté en emballages immédiats d'un contenu &lt;= 3 kg</v>
      </c>
      <c r="C4126">
        <v>2556225</v>
      </c>
      <c r="D4126">
        <v>826</v>
      </c>
    </row>
    <row r="4127" spans="1:4" x14ac:dyDescent="0.25">
      <c r="A4127" t="str">
        <f>T("   090220")</f>
        <v xml:space="preserve">   090220</v>
      </c>
      <c r="B4127" t="str">
        <f>T("   Thé vert [thé non fermenté], présenté en emballages immédiats d'un contenu &gt; 3 kg")</f>
        <v xml:space="preserve">   Thé vert [thé non fermenté], présenté en emballages immédiats d'un contenu &gt; 3 kg</v>
      </c>
      <c r="C4127">
        <v>206627</v>
      </c>
      <c r="D4127">
        <v>39</v>
      </c>
    </row>
    <row r="4128" spans="1:4" x14ac:dyDescent="0.25">
      <c r="A4128" t="str">
        <f>T("   090230")</f>
        <v xml:space="preserve">   090230</v>
      </c>
      <c r="B4128" t="s">
        <v>25</v>
      </c>
      <c r="C4128">
        <v>5880562</v>
      </c>
      <c r="D4128">
        <v>5862</v>
      </c>
    </row>
    <row r="4129" spans="1:4" x14ac:dyDescent="0.25">
      <c r="A4129" t="str">
        <f>T("   090240")</f>
        <v xml:space="preserve">   090240</v>
      </c>
      <c r="B4129" t="s">
        <v>26</v>
      </c>
      <c r="C4129">
        <v>1102670</v>
      </c>
      <c r="D4129">
        <v>4189</v>
      </c>
    </row>
    <row r="4130" spans="1:4" x14ac:dyDescent="0.25">
      <c r="A4130" t="str">
        <f>T("   090411")</f>
        <v xml:space="preserve">   090411</v>
      </c>
      <c r="B4130" t="str">
        <f>T("   Poivre du genre 'Piper', non broyé ni pulvérisé")</f>
        <v xml:space="preserve">   Poivre du genre 'Piper', non broyé ni pulvérisé</v>
      </c>
      <c r="C4130">
        <v>766817</v>
      </c>
      <c r="D4130">
        <v>754</v>
      </c>
    </row>
    <row r="4131" spans="1:4" x14ac:dyDescent="0.25">
      <c r="A4131" t="str">
        <f>T("   090412")</f>
        <v xml:space="preserve">   090412</v>
      </c>
      <c r="B4131" t="str">
        <f>T("   Poivre du genre 'Piper', broyé ou pulvérisé")</f>
        <v xml:space="preserve">   Poivre du genre 'Piper', broyé ou pulvérisé</v>
      </c>
      <c r="C4131">
        <v>21751457</v>
      </c>
      <c r="D4131">
        <v>6485</v>
      </c>
    </row>
    <row r="4132" spans="1:4" x14ac:dyDescent="0.25">
      <c r="A4132" t="str">
        <f>T("   090420")</f>
        <v xml:space="preserve">   090420</v>
      </c>
      <c r="B4132" t="str">
        <f>T("   Piments du genre 'Capsicum' ou du genre 'Pimenta', séchés ou broyés ou pulvérisés")</f>
        <v xml:space="preserve">   Piments du genre 'Capsicum' ou du genre 'Pimenta', séchés ou broyés ou pulvérisés</v>
      </c>
      <c r="C4132">
        <v>167269</v>
      </c>
      <c r="D4132">
        <v>30</v>
      </c>
    </row>
    <row r="4133" spans="1:4" x14ac:dyDescent="0.25">
      <c r="A4133" t="str">
        <f>T("   090500")</f>
        <v xml:space="preserve">   090500</v>
      </c>
      <c r="B4133" t="str">
        <f>T("   Vanille")</f>
        <v xml:space="preserve">   Vanille</v>
      </c>
      <c r="C4133">
        <v>2073648</v>
      </c>
      <c r="D4133">
        <v>3468</v>
      </c>
    </row>
    <row r="4134" spans="1:4" x14ac:dyDescent="0.25">
      <c r="A4134" t="str">
        <f>T("   090910")</f>
        <v xml:space="preserve">   090910</v>
      </c>
      <c r="B4134" t="str">
        <f>T("   Graines d'anis ou de badiane")</f>
        <v xml:space="preserve">   Graines d'anis ou de badiane</v>
      </c>
      <c r="C4134">
        <v>1193193</v>
      </c>
      <c r="D4134">
        <v>66</v>
      </c>
    </row>
    <row r="4135" spans="1:4" x14ac:dyDescent="0.25">
      <c r="A4135" t="str">
        <f>T("   091020")</f>
        <v xml:space="preserve">   091020</v>
      </c>
      <c r="B4135" t="str">
        <f>T("   Safran")</f>
        <v xml:space="preserve">   Safran</v>
      </c>
      <c r="C4135">
        <v>874395</v>
      </c>
      <c r="D4135">
        <v>1094</v>
      </c>
    </row>
    <row r="4136" spans="1:4" x14ac:dyDescent="0.25">
      <c r="A4136" t="str">
        <f>T("   091040")</f>
        <v xml:space="preserve">   091040</v>
      </c>
      <c r="B4136" t="str">
        <f>T("   Thym et feuilles de laurier")</f>
        <v xml:space="preserve">   Thym et feuilles de laurier</v>
      </c>
      <c r="C4136">
        <v>1457543</v>
      </c>
      <c r="D4136">
        <v>699</v>
      </c>
    </row>
    <row r="4137" spans="1:4" x14ac:dyDescent="0.25">
      <c r="A4137" t="str">
        <f>T("   091091")</f>
        <v xml:space="preserve">   091091</v>
      </c>
      <c r="B4137" t="str">
        <f>T("   Mélanges d'épices")</f>
        <v xml:space="preserve">   Mélanges d'épices</v>
      </c>
      <c r="C4137">
        <v>850354</v>
      </c>
      <c r="D4137">
        <v>984</v>
      </c>
    </row>
    <row r="4138" spans="1:4" x14ac:dyDescent="0.25">
      <c r="A4138" t="str">
        <f>T("   091099")</f>
        <v xml:space="preserve">   091099</v>
      </c>
      <c r="B4138" t="s">
        <v>27</v>
      </c>
      <c r="C4138">
        <v>19072409</v>
      </c>
      <c r="D4138">
        <v>41000</v>
      </c>
    </row>
    <row r="4139" spans="1:4" x14ac:dyDescent="0.25">
      <c r="A4139" t="str">
        <f>T("   100110")</f>
        <v xml:space="preserve">   100110</v>
      </c>
      <c r="B4139" t="str">
        <f>T("   Froment [blé] dur")</f>
        <v xml:space="preserve">   Froment [blé] dur</v>
      </c>
      <c r="C4139">
        <v>868982522</v>
      </c>
      <c r="D4139">
        <v>4400000</v>
      </c>
    </row>
    <row r="4140" spans="1:4" x14ac:dyDescent="0.25">
      <c r="A4140" t="str">
        <f>T("   100190")</f>
        <v xml:space="preserve">   100190</v>
      </c>
      <c r="B4140" t="str">
        <f>T("   Froment [blé] et méteil (à l'excl. du froment [blé] dur)")</f>
        <v xml:space="preserve">   Froment [blé] et méteil (à l'excl. du froment [blé] dur)</v>
      </c>
      <c r="C4140">
        <v>659489233</v>
      </c>
      <c r="D4140">
        <v>4180000</v>
      </c>
    </row>
    <row r="4141" spans="1:4" x14ac:dyDescent="0.25">
      <c r="A4141" t="str">
        <f>T("   100620")</f>
        <v xml:space="preserve">   100620</v>
      </c>
      <c r="B4141" t="str">
        <f>T("   Riz décortiqué [riz cargo ou riz brun]")</f>
        <v xml:space="preserve">   Riz décortiqué [riz cargo ou riz brun]</v>
      </c>
      <c r="C4141">
        <v>104964337.707</v>
      </c>
      <c r="D4141">
        <v>489750</v>
      </c>
    </row>
    <row r="4142" spans="1:4" x14ac:dyDescent="0.25">
      <c r="A4142" t="str">
        <f>T("   100630")</f>
        <v xml:space="preserve">   100630</v>
      </c>
      <c r="B4142" t="str">
        <f>T("   Riz semi-blanchi ou blanchi, même poli ou glacé")</f>
        <v xml:space="preserve">   Riz semi-blanchi ou blanchi, même poli ou glacé</v>
      </c>
      <c r="C4142">
        <v>895352784.61399996</v>
      </c>
      <c r="D4142">
        <v>3585272</v>
      </c>
    </row>
    <row r="4143" spans="1:4" x14ac:dyDescent="0.25">
      <c r="A4143" t="str">
        <f>T("   100890")</f>
        <v xml:space="preserve">   100890</v>
      </c>
      <c r="B4143" t="str">
        <f>T("   Céréales (à l'excl. du froment [blé], du méteil, du seigle, de l'orge, de l'avoine, du maïs, du riz, du sorgho à grains, du sarrasin, du millet et de l'alpiste)")</f>
        <v xml:space="preserve">   Céréales (à l'excl. du froment [blé], du méteil, du seigle, de l'orge, de l'avoine, du maïs, du riz, du sorgho à grains, du sarrasin, du millet et de l'alpiste)</v>
      </c>
      <c r="C4143">
        <v>590364</v>
      </c>
      <c r="D4143">
        <v>1725</v>
      </c>
    </row>
    <row r="4144" spans="1:4" x14ac:dyDescent="0.25">
      <c r="A4144" t="str">
        <f>T("   110100")</f>
        <v xml:space="preserve">   110100</v>
      </c>
      <c r="B4144" t="str">
        <f>T("   Farines de froment [blé] ou de méteil")</f>
        <v xml:space="preserve">   Farines de froment [blé] ou de méteil</v>
      </c>
      <c r="C4144">
        <v>7379853408.8620005</v>
      </c>
      <c r="D4144">
        <v>26641823</v>
      </c>
    </row>
    <row r="4145" spans="1:4" x14ac:dyDescent="0.25">
      <c r="A4145" t="str">
        <f>T("   110311")</f>
        <v xml:space="preserve">   110311</v>
      </c>
      <c r="B4145" t="str">
        <f>T("   Gruaux et semoules de froment [blé]")</f>
        <v xml:space="preserve">   Gruaux et semoules de froment [blé]</v>
      </c>
      <c r="C4145">
        <v>1723332</v>
      </c>
      <c r="D4145">
        <v>1954</v>
      </c>
    </row>
    <row r="4146" spans="1:4" x14ac:dyDescent="0.25">
      <c r="A4146" t="str">
        <f>T("   110319")</f>
        <v xml:space="preserve">   110319</v>
      </c>
      <c r="B4146" t="str">
        <f>T("   Gruaux et semoules de céréales (à l'excl. des gruaux et semoules de froment [blé] et de maïs)")</f>
        <v xml:space="preserve">   Gruaux et semoules de céréales (à l'excl. des gruaux et semoules de froment [blé] et de maïs)</v>
      </c>
      <c r="C4146">
        <v>1475910</v>
      </c>
      <c r="D4146">
        <v>1342</v>
      </c>
    </row>
    <row r="4147" spans="1:4" x14ac:dyDescent="0.25">
      <c r="A4147" t="str">
        <f>T("   110520")</f>
        <v xml:space="preserve">   110520</v>
      </c>
      <c r="B4147" t="str">
        <f>T("   Flocons, granulés et agglomérés sous forme de pellets, de pommes de terre")</f>
        <v xml:space="preserve">   Flocons, granulés et agglomérés sous forme de pellets, de pommes de terre</v>
      </c>
      <c r="C4147">
        <v>1574284</v>
      </c>
      <c r="D4147">
        <v>1933</v>
      </c>
    </row>
    <row r="4148" spans="1:4" x14ac:dyDescent="0.25">
      <c r="A4148" t="str">
        <f>T("   110630")</f>
        <v xml:space="preserve">   110630</v>
      </c>
      <c r="B4148" t="s">
        <v>28</v>
      </c>
      <c r="C4148">
        <v>166961</v>
      </c>
      <c r="D4148">
        <v>109</v>
      </c>
    </row>
    <row r="4149" spans="1:4" x14ac:dyDescent="0.25">
      <c r="A4149" t="str">
        <f>T("   110710")</f>
        <v xml:space="preserve">   110710</v>
      </c>
      <c r="B4149" t="str">
        <f>T("   MALT, NON-TORRÉFIÉ")</f>
        <v xml:space="preserve">   MALT, NON-TORRÉFIÉ</v>
      </c>
      <c r="C4149">
        <v>1395637787</v>
      </c>
      <c r="D4149">
        <v>3086846</v>
      </c>
    </row>
    <row r="4150" spans="1:4" x14ac:dyDescent="0.25">
      <c r="A4150" t="str">
        <f>T("   110720")</f>
        <v xml:space="preserve">   110720</v>
      </c>
      <c r="B4150" t="str">
        <f>T("   Malt, torréfié")</f>
        <v xml:space="preserve">   Malt, torréfié</v>
      </c>
      <c r="C4150">
        <v>14510489</v>
      </c>
      <c r="D4150">
        <v>16812</v>
      </c>
    </row>
    <row r="4151" spans="1:4" x14ac:dyDescent="0.25">
      <c r="A4151" t="str">
        <f>T("   110900")</f>
        <v xml:space="preserve">   110900</v>
      </c>
      <c r="B4151" t="str">
        <f>T("   Gluten de froment [blé], même à l'état sec")</f>
        <v xml:space="preserve">   Gluten de froment [blé], même à l'état sec</v>
      </c>
      <c r="C4151">
        <v>68796212</v>
      </c>
      <c r="D4151">
        <v>22051</v>
      </c>
    </row>
    <row r="4152" spans="1:4" x14ac:dyDescent="0.25">
      <c r="A4152" t="str">
        <f>T("   120799")</f>
        <v xml:space="preserve">   120799</v>
      </c>
      <c r="B4152" t="s">
        <v>29</v>
      </c>
      <c r="C4152">
        <v>2963628</v>
      </c>
      <c r="D4152">
        <v>248</v>
      </c>
    </row>
    <row r="4153" spans="1:4" x14ac:dyDescent="0.25">
      <c r="A4153" t="str">
        <f>T("   120930")</f>
        <v xml:space="preserve">   120930</v>
      </c>
      <c r="B4153" t="str">
        <f>T("   Graines de plantes herbacées utilisées principalement pour leurs fleurs, à ensemencer")</f>
        <v xml:space="preserve">   Graines de plantes herbacées utilisées principalement pour leurs fleurs, à ensemencer</v>
      </c>
      <c r="C4153">
        <v>73468</v>
      </c>
      <c r="D4153">
        <v>2</v>
      </c>
    </row>
    <row r="4154" spans="1:4" x14ac:dyDescent="0.25">
      <c r="A4154" t="str">
        <f>T("   120991")</f>
        <v xml:space="preserve">   120991</v>
      </c>
      <c r="B4154" t="str">
        <f>T("   Graines de légumes, à ensemencer")</f>
        <v xml:space="preserve">   Graines de légumes, à ensemencer</v>
      </c>
      <c r="C4154">
        <v>241839988</v>
      </c>
      <c r="D4154">
        <v>9686</v>
      </c>
    </row>
    <row r="4155" spans="1:4" x14ac:dyDescent="0.25">
      <c r="A4155" t="str">
        <f>T("   120999")</f>
        <v xml:space="preserve">   120999</v>
      </c>
      <c r="B4155" t="s">
        <v>30</v>
      </c>
      <c r="C4155">
        <v>262931069</v>
      </c>
      <c r="D4155">
        <v>10458</v>
      </c>
    </row>
    <row r="4156" spans="1:4" x14ac:dyDescent="0.25">
      <c r="A4156" t="str">
        <f>T("   121020")</f>
        <v xml:space="preserve">   121020</v>
      </c>
      <c r="B4156" t="str">
        <f>T("   Cônes de houblon, broyés, moulus ou sous forme de pellets; lupuline")</f>
        <v xml:space="preserve">   Cônes de houblon, broyés, moulus ou sous forme de pellets; lupuline</v>
      </c>
      <c r="C4156">
        <v>18387215</v>
      </c>
      <c r="D4156">
        <v>1494</v>
      </c>
    </row>
    <row r="4157" spans="1:4" x14ac:dyDescent="0.25">
      <c r="A4157" t="str">
        <f>T("   121190")</f>
        <v xml:space="preserve">   121190</v>
      </c>
      <c r="B4157" t="s">
        <v>31</v>
      </c>
      <c r="C4157">
        <v>13453222</v>
      </c>
      <c r="D4157">
        <v>2431</v>
      </c>
    </row>
    <row r="4158" spans="1:4" x14ac:dyDescent="0.25">
      <c r="A4158" t="str">
        <f>T("   121490")</f>
        <v xml:space="preserve">   121490</v>
      </c>
      <c r="B4158" t="s">
        <v>32</v>
      </c>
      <c r="C4158">
        <v>1572336</v>
      </c>
      <c r="D4158">
        <v>506</v>
      </c>
    </row>
    <row r="4159" spans="1:4" x14ac:dyDescent="0.25">
      <c r="A4159" t="str">
        <f>T("   130120")</f>
        <v xml:space="preserve">   130120</v>
      </c>
      <c r="B4159" t="str">
        <f>T("   Gomme arabique")</f>
        <v xml:space="preserve">   Gomme arabique</v>
      </c>
      <c r="C4159">
        <v>289278</v>
      </c>
      <c r="D4159">
        <v>257</v>
      </c>
    </row>
    <row r="4160" spans="1:4" x14ac:dyDescent="0.25">
      <c r="A4160" t="str">
        <f>T("   130190")</f>
        <v xml:space="preserve">   130190</v>
      </c>
      <c r="B4160" t="str">
        <f>T("   Gommes, résines, gommes-résines, baumes et autres oléorésines, naturelles (à l'excl. de la gomme arabique)")</f>
        <v xml:space="preserve">   Gommes, résines, gommes-résines, baumes et autres oléorésines, naturelles (à l'excl. de la gomme arabique)</v>
      </c>
      <c r="C4160">
        <v>1494278</v>
      </c>
      <c r="D4160">
        <v>198</v>
      </c>
    </row>
    <row r="4161" spans="1:4" x14ac:dyDescent="0.25">
      <c r="A4161" t="str">
        <f>T("   130213")</f>
        <v xml:space="preserve">   130213</v>
      </c>
      <c r="B4161" t="str">
        <f>T("   Extraits de houblon")</f>
        <v xml:space="preserve">   Extraits de houblon</v>
      </c>
      <c r="C4161">
        <v>325338449</v>
      </c>
      <c r="D4161">
        <v>9185</v>
      </c>
    </row>
    <row r="4162" spans="1:4" x14ac:dyDescent="0.25">
      <c r="A4162" t="str">
        <f>T("   140490")</f>
        <v xml:space="preserve">   140490</v>
      </c>
      <c r="B4162" t="str">
        <f>T("   Produits végétaux, n.d.a.")</f>
        <v xml:space="preserve">   Produits végétaux, n.d.a.</v>
      </c>
      <c r="C4162">
        <v>1336663</v>
      </c>
      <c r="D4162">
        <v>658</v>
      </c>
    </row>
    <row r="4163" spans="1:4" x14ac:dyDescent="0.25">
      <c r="A4163" t="str">
        <f>T("   150790")</f>
        <v xml:space="preserve">   150790</v>
      </c>
      <c r="B4163" t="str">
        <f>T("   Huile de soja et ses fractions, même raffinées, mais non chimiquement modifiées (à l'excl. de l'huile de soja brute)")</f>
        <v xml:space="preserve">   Huile de soja et ses fractions, même raffinées, mais non chimiquement modifiées (à l'excl. de l'huile de soja brute)</v>
      </c>
      <c r="C4163">
        <v>3318502</v>
      </c>
      <c r="D4163">
        <v>5137</v>
      </c>
    </row>
    <row r="4164" spans="1:4" x14ac:dyDescent="0.25">
      <c r="A4164" t="str">
        <f>T("   150890")</f>
        <v xml:space="preserve">   150890</v>
      </c>
      <c r="B4164" t="str">
        <f>T("   Huile d'arachide et ses fractions, même raffinées, mais non chimiquement modifiées (à l'excl. de l'huile d'arachide brute)")</f>
        <v xml:space="preserve">   Huile d'arachide et ses fractions, même raffinées, mais non chimiquement modifiées (à l'excl. de l'huile d'arachide brute)</v>
      </c>
      <c r="C4164">
        <v>138408</v>
      </c>
      <c r="D4164">
        <v>218</v>
      </c>
    </row>
    <row r="4165" spans="1:4" x14ac:dyDescent="0.25">
      <c r="A4165" t="str">
        <f>T("   150910")</f>
        <v xml:space="preserve">   150910</v>
      </c>
      <c r="B4165" t="str">
        <f>T("   Huile d'olive vierge et ses fractions, obtenues, à partir des fruits de l'olivier, uniquement par des procédés mécaniques ou physiques, dans des conditions n'altérant pas l'huile")</f>
        <v xml:space="preserve">   Huile d'olive vierge et ses fractions, obtenues, à partir des fruits de l'olivier, uniquement par des procédés mécaniques ou physiques, dans des conditions n'altérant pas l'huile</v>
      </c>
      <c r="C4165">
        <v>9534223</v>
      </c>
      <c r="D4165">
        <v>7574</v>
      </c>
    </row>
    <row r="4166" spans="1:4" x14ac:dyDescent="0.25">
      <c r="A4166" t="str">
        <f>T("   150990")</f>
        <v xml:space="preserve">   150990</v>
      </c>
      <c r="B4166" t="str">
        <f>T("   Huile d'olive et ses fractions, traitées mais non chimiquement modifiées, obtenues, à partir des fruits de l'olivier, uniquement par des procédés mécaniques ou physiques, dans des conditions n'altérant pas l'huile")</f>
        <v xml:space="preserve">   Huile d'olive et ses fractions, traitées mais non chimiquement modifiées, obtenues, à partir des fruits de l'olivier, uniquement par des procédés mécaniques ou physiques, dans des conditions n'altérant pas l'huile</v>
      </c>
      <c r="C4166">
        <v>22002532</v>
      </c>
      <c r="D4166">
        <v>23251</v>
      </c>
    </row>
    <row r="4167" spans="1:4" x14ac:dyDescent="0.25">
      <c r="A4167" t="str">
        <f>T("   151190")</f>
        <v xml:space="preserve">   151190</v>
      </c>
      <c r="B4167" t="str">
        <f>T("   Huile de palme et ses fractions, même raffinées, mais non chimiquement modifiées (à l'excl. de l'huile de palme brute)")</f>
        <v xml:space="preserve">   Huile de palme et ses fractions, même raffinées, mais non chimiquement modifiées (à l'excl. de l'huile de palme brute)</v>
      </c>
      <c r="C4167">
        <v>1185708602.826</v>
      </c>
      <c r="D4167">
        <v>3832539</v>
      </c>
    </row>
    <row r="4168" spans="1:4" x14ac:dyDescent="0.25">
      <c r="A4168" t="str">
        <f>T("   151211")</f>
        <v xml:space="preserve">   151211</v>
      </c>
      <c r="B4168" t="str">
        <f>T("   Huiles de tournesol ou de carthame, brutes")</f>
        <v xml:space="preserve">   Huiles de tournesol ou de carthame, brutes</v>
      </c>
      <c r="C4168">
        <v>88357</v>
      </c>
      <c r="D4168">
        <v>144</v>
      </c>
    </row>
    <row r="4169" spans="1:4" x14ac:dyDescent="0.25">
      <c r="A4169" t="str">
        <f>T("   151219")</f>
        <v xml:space="preserve">   151219</v>
      </c>
      <c r="B4169" t="str">
        <f>T("   Huiles de tournesol ou de carthame et leurs fractions, même raffinées, mais non chimiquement modifiées (à l'excl. des huiles brutes)")</f>
        <v xml:space="preserve">   Huiles de tournesol ou de carthame et leurs fractions, même raffinées, mais non chimiquement modifiées (à l'excl. des huiles brutes)</v>
      </c>
      <c r="C4169">
        <v>2450016</v>
      </c>
      <c r="D4169">
        <v>3941</v>
      </c>
    </row>
    <row r="4170" spans="1:4" x14ac:dyDescent="0.25">
      <c r="A4170" t="str">
        <f>T("   151419")</f>
        <v xml:space="preserve">   151419</v>
      </c>
      <c r="B4170" t="s">
        <v>34</v>
      </c>
      <c r="C4170">
        <v>922280</v>
      </c>
      <c r="D4170">
        <v>1392</v>
      </c>
    </row>
    <row r="4171" spans="1:4" x14ac:dyDescent="0.25">
      <c r="A4171" t="str">
        <f>T("   151519")</f>
        <v xml:space="preserve">   151519</v>
      </c>
      <c r="B4171" t="str">
        <f>T("   Huile de lin et ses fractions, même raffinées, mais non chimiquement modifiées (à l'excl. de l'huile brute)")</f>
        <v xml:space="preserve">   Huile de lin et ses fractions, même raffinées, mais non chimiquement modifiées (à l'excl. de l'huile brute)</v>
      </c>
      <c r="C4171">
        <v>1910812</v>
      </c>
      <c r="D4171">
        <v>800</v>
      </c>
    </row>
    <row r="4172" spans="1:4" x14ac:dyDescent="0.25">
      <c r="A4172" t="str">
        <f>T("   151529")</f>
        <v xml:space="preserve">   151529</v>
      </c>
      <c r="B4172" t="str">
        <f>T("   Huile de maïs et ses fractions, même raffinées, mais non chimiquement modifiées (à l'excl. de l'huile brute)")</f>
        <v xml:space="preserve">   Huile de maïs et ses fractions, même raffinées, mais non chimiquement modifiées (à l'excl. de l'huile brute)</v>
      </c>
      <c r="C4172">
        <v>155464</v>
      </c>
      <c r="D4172">
        <v>244</v>
      </c>
    </row>
    <row r="4173" spans="1:4" x14ac:dyDescent="0.25">
      <c r="A4173" t="str">
        <f>T("   151530")</f>
        <v xml:space="preserve">   151530</v>
      </c>
      <c r="B4173" t="str">
        <f>T("   Huile de ricin et ses fractions, même raffinées, mais non chimiquement modifiées")</f>
        <v xml:space="preserve">   Huile de ricin et ses fractions, même raffinées, mais non chimiquement modifiées</v>
      </c>
      <c r="C4173">
        <v>253201</v>
      </c>
      <c r="D4173">
        <v>20</v>
      </c>
    </row>
    <row r="4174" spans="1:4" x14ac:dyDescent="0.25">
      <c r="A4174" t="str">
        <f>T("   151590")</f>
        <v xml:space="preserve">   151590</v>
      </c>
      <c r="B4174" t="s">
        <v>35</v>
      </c>
      <c r="C4174">
        <v>96403325</v>
      </c>
      <c r="D4174">
        <v>372255</v>
      </c>
    </row>
    <row r="4175" spans="1:4" x14ac:dyDescent="0.25">
      <c r="A4175" t="str">
        <f>T("   151620")</f>
        <v xml:space="preserve">   151620</v>
      </c>
      <c r="B4175"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4175">
        <v>10292532</v>
      </c>
      <c r="D4175">
        <v>14867</v>
      </c>
    </row>
    <row r="4176" spans="1:4" x14ac:dyDescent="0.25">
      <c r="A4176" t="str">
        <f>T("   151710")</f>
        <v xml:space="preserve">   151710</v>
      </c>
      <c r="B4176" t="str">
        <f>T("   Margarine (à l'excl. de la margarine liquide)")</f>
        <v xml:space="preserve">   Margarine (à l'excl. de la margarine liquide)</v>
      </c>
      <c r="C4176">
        <v>72097557</v>
      </c>
      <c r="D4176">
        <v>168402</v>
      </c>
    </row>
    <row r="4177" spans="1:4" x14ac:dyDescent="0.25">
      <c r="A4177" t="str">
        <f>T("   151800")</f>
        <v xml:space="preserve">   151800</v>
      </c>
      <c r="B4177" t="s">
        <v>37</v>
      </c>
      <c r="C4177">
        <v>3071861</v>
      </c>
      <c r="D4177">
        <v>1140</v>
      </c>
    </row>
    <row r="4178" spans="1:4" x14ac:dyDescent="0.25">
      <c r="A4178" t="str">
        <f>T("   152190")</f>
        <v xml:space="preserve">   152190</v>
      </c>
      <c r="B4178" t="str">
        <f>T("   Cires d'abeilles ou d'autres insectes et spermaceti, même raffinés ou colorés")</f>
        <v xml:space="preserve">   Cires d'abeilles ou d'autres insectes et spermaceti, même raffinés ou colorés</v>
      </c>
      <c r="C4178">
        <v>335852</v>
      </c>
      <c r="D4178">
        <v>434</v>
      </c>
    </row>
    <row r="4179" spans="1:4" x14ac:dyDescent="0.25">
      <c r="A4179" t="str">
        <f>T("   160100")</f>
        <v xml:space="preserve">   160100</v>
      </c>
      <c r="B4179" t="str">
        <f>T("   Saucisses, saucissons et produits simil., de viande, d'abats ou de sang; préparations alimentaires à base de ces produits")</f>
        <v xml:space="preserve">   Saucisses, saucissons et produits simil., de viande, d'abats ou de sang; préparations alimentaires à base de ces produits</v>
      </c>
      <c r="C4179">
        <v>338025483</v>
      </c>
      <c r="D4179">
        <v>498458</v>
      </c>
    </row>
    <row r="4180" spans="1:4" x14ac:dyDescent="0.25">
      <c r="A4180" t="str">
        <f>T("   160210")</f>
        <v xml:space="preserve">   160210</v>
      </c>
      <c r="B4180" t="str">
        <f>T("   Préparations finement homogénéisées, de viande, d'abats ou de sang, conditionnées pour la vente au détail comme aliments pour enfants ou pour usages diététiques, en récipients d'un contenu &lt;= 250 g")</f>
        <v xml:space="preserve">   Préparations finement homogénéisées, de viande, d'abats ou de sang, conditionnées pour la vente au détail comme aliments pour enfants ou pour usages diététiques, en récipients d'un contenu &lt;= 250 g</v>
      </c>
      <c r="C4180">
        <v>486722</v>
      </c>
      <c r="D4180">
        <v>591</v>
      </c>
    </row>
    <row r="4181" spans="1:4" x14ac:dyDescent="0.25">
      <c r="A4181" t="str">
        <f>T("   160231")</f>
        <v xml:space="preserve">   160231</v>
      </c>
      <c r="B4181" t="s">
        <v>38</v>
      </c>
      <c r="C4181">
        <v>362090</v>
      </c>
      <c r="D4181">
        <v>600</v>
      </c>
    </row>
    <row r="4182" spans="1:4" x14ac:dyDescent="0.25">
      <c r="A4182" t="str">
        <f>T("   160232")</f>
        <v xml:space="preserve">   160232</v>
      </c>
      <c r="B4182" t="s">
        <v>39</v>
      </c>
      <c r="C4182">
        <v>60694666</v>
      </c>
      <c r="D4182">
        <v>101017</v>
      </c>
    </row>
    <row r="4183" spans="1:4" x14ac:dyDescent="0.25">
      <c r="A4183" t="str">
        <f>T("   160239")</f>
        <v xml:space="preserve">   160239</v>
      </c>
      <c r="B4183" t="s">
        <v>40</v>
      </c>
      <c r="C4183">
        <v>85754916</v>
      </c>
      <c r="D4183">
        <v>60260</v>
      </c>
    </row>
    <row r="4184" spans="1:4" x14ac:dyDescent="0.25">
      <c r="A4184" t="str">
        <f>T("   160241")</f>
        <v xml:space="preserve">   160241</v>
      </c>
      <c r="B4184" t="str">
        <f>T("   Préparations et conserves de jambons et de morceaux de jambons des animaux de l'espèce porcine")</f>
        <v xml:space="preserve">   Préparations et conserves de jambons et de morceaux de jambons des animaux de l'espèce porcine</v>
      </c>
      <c r="C4184">
        <v>104846487</v>
      </c>
      <c r="D4184">
        <v>101660</v>
      </c>
    </row>
    <row r="4185" spans="1:4" x14ac:dyDescent="0.25">
      <c r="A4185" t="str">
        <f>T("   160242")</f>
        <v xml:space="preserve">   160242</v>
      </c>
      <c r="B4185" t="str">
        <f>T("   Préparations et conserves d'épaules et de morceaux d'épaules des animaux de l'espèce porcine")</f>
        <v xml:space="preserve">   Préparations et conserves d'épaules et de morceaux d'épaules des animaux de l'espèce porcine</v>
      </c>
      <c r="C4185">
        <v>1114477</v>
      </c>
      <c r="D4185">
        <v>1931</v>
      </c>
    </row>
    <row r="4186" spans="1:4" x14ac:dyDescent="0.25">
      <c r="A4186" t="str">
        <f>T("   160249")</f>
        <v xml:space="preserve">   160249</v>
      </c>
      <c r="B4186" t="s">
        <v>41</v>
      </c>
      <c r="C4186">
        <v>42042107</v>
      </c>
      <c r="D4186">
        <v>40394</v>
      </c>
    </row>
    <row r="4187" spans="1:4" x14ac:dyDescent="0.25">
      <c r="A4187" t="str">
        <f>T("   160250")</f>
        <v xml:space="preserve">   160250</v>
      </c>
      <c r="B4187" t="s">
        <v>42</v>
      </c>
      <c r="C4187">
        <v>19091714</v>
      </c>
      <c r="D4187">
        <v>19419</v>
      </c>
    </row>
    <row r="4188" spans="1:4" x14ac:dyDescent="0.25">
      <c r="A4188" t="str">
        <f>T("   160290")</f>
        <v xml:space="preserve">   160290</v>
      </c>
      <c r="B4188" t="s">
        <v>43</v>
      </c>
      <c r="C4188">
        <v>10640326</v>
      </c>
      <c r="D4188">
        <v>7034</v>
      </c>
    </row>
    <row r="4189" spans="1:4" x14ac:dyDescent="0.25">
      <c r="A4189" t="str">
        <f>T("   160411")</f>
        <v xml:space="preserve">   160411</v>
      </c>
      <c r="B4189" t="str">
        <f>T("   Préparations et conserves de saumons entiers ou en morceaux (à l'excl. des préparations et conserves de saumons hachés)")</f>
        <v xml:space="preserve">   Préparations et conserves de saumons entiers ou en morceaux (à l'excl. des préparations et conserves de saumons hachés)</v>
      </c>
      <c r="C4189">
        <v>5534335</v>
      </c>
      <c r="D4189">
        <v>3688</v>
      </c>
    </row>
    <row r="4190" spans="1:4" x14ac:dyDescent="0.25">
      <c r="A4190" t="str">
        <f>T("   160413")</f>
        <v xml:space="preserve">   160413</v>
      </c>
      <c r="B4190" t="str">
        <f>T("   Préparations et conserves de sardines, sardinelles, sprats ou esprots, entiers ou en morceaux (à l'excl. des préparations et conserves de poissons hachés)")</f>
        <v xml:space="preserve">   Préparations et conserves de sardines, sardinelles, sprats ou esprots, entiers ou en morceaux (à l'excl. des préparations et conserves de poissons hachés)</v>
      </c>
      <c r="C4190">
        <v>5895769</v>
      </c>
      <c r="D4190">
        <v>4343</v>
      </c>
    </row>
    <row r="4191" spans="1:4" x14ac:dyDescent="0.25">
      <c r="A4191" t="str">
        <f>T("   160414")</f>
        <v xml:space="preserve">   160414</v>
      </c>
      <c r="B4191" t="str">
        <f>T("   Préparations et conserves de thons, de listaos et de bonites 'Sarda spp.', entiers ou en morceaux (à l'excl. des préparations et conserves de thons, de listaos et de bonites hachés)")</f>
        <v xml:space="preserve">   Préparations et conserves de thons, de listaos et de bonites 'Sarda spp.', entiers ou en morceaux (à l'excl. des préparations et conserves de thons, de listaos et de bonites hachés)</v>
      </c>
      <c r="C4191">
        <v>15347817</v>
      </c>
      <c r="D4191">
        <v>8422</v>
      </c>
    </row>
    <row r="4192" spans="1:4" x14ac:dyDescent="0.25">
      <c r="A4192" t="str">
        <f>T("   160415")</f>
        <v xml:space="preserve">   160415</v>
      </c>
      <c r="B4192" t="str">
        <f>T("   Préparations et conserves de maquereaux entiers ou en morceaux (à l'excl. des préparations et conserves de maquereaux hachés)")</f>
        <v xml:space="preserve">   Préparations et conserves de maquereaux entiers ou en morceaux (à l'excl. des préparations et conserves de maquereaux hachés)</v>
      </c>
      <c r="C4192">
        <v>318797</v>
      </c>
      <c r="D4192">
        <v>322</v>
      </c>
    </row>
    <row r="4193" spans="1:4" x14ac:dyDescent="0.25">
      <c r="A4193" t="str">
        <f>T("   160416")</f>
        <v xml:space="preserve">   160416</v>
      </c>
      <c r="B4193" t="str">
        <f>T("   Préparations et conserves d'anchois entiers ou en morceaux (à l'excl. des préparations et conserves d'anchois hachés)")</f>
        <v xml:space="preserve">   Préparations et conserves d'anchois entiers ou en morceaux (à l'excl. des préparations et conserves d'anchois hachés)</v>
      </c>
      <c r="C4193">
        <v>32798</v>
      </c>
      <c r="D4193">
        <v>99</v>
      </c>
    </row>
    <row r="4194" spans="1:4" x14ac:dyDescent="0.25">
      <c r="A4194" t="str">
        <f>T("   160419")</f>
        <v xml:space="preserve">   160419</v>
      </c>
      <c r="B4194" t="s">
        <v>44</v>
      </c>
      <c r="C4194">
        <v>1996087</v>
      </c>
      <c r="D4194">
        <v>7809</v>
      </c>
    </row>
    <row r="4195" spans="1:4" x14ac:dyDescent="0.25">
      <c r="A4195" t="str">
        <f>T("   160420")</f>
        <v xml:space="preserve">   160420</v>
      </c>
      <c r="B4195" t="str">
        <f>T("   Préparations et conserves de poissons (à l'excl. des préparations et conserves de poissons entiers ou en morceaux)")</f>
        <v xml:space="preserve">   Préparations et conserves de poissons (à l'excl. des préparations et conserves de poissons entiers ou en morceaux)</v>
      </c>
      <c r="C4195">
        <v>63954789</v>
      </c>
      <c r="D4195">
        <v>26365</v>
      </c>
    </row>
    <row r="4196" spans="1:4" x14ac:dyDescent="0.25">
      <c r="A4196" t="str">
        <f>T("   160590")</f>
        <v xml:space="preserve">   160590</v>
      </c>
      <c r="B4196" t="str">
        <f>T("   Mollusques et autres invertébrés aquatiques, préparés ou conservés")</f>
        <v xml:space="preserve">   Mollusques et autres invertébrés aquatiques, préparés ou conservés</v>
      </c>
      <c r="C4196">
        <v>99049</v>
      </c>
      <c r="D4196">
        <v>426</v>
      </c>
    </row>
    <row r="4197" spans="1:4" x14ac:dyDescent="0.25">
      <c r="A4197" t="str">
        <f>T("   170191")</f>
        <v xml:space="preserve">   170191</v>
      </c>
      <c r="B4197" t="str">
        <f>T("   Sucres de canne ou de betterave, à l'état solide, additionnés d'aromatisants ou de colorants")</f>
        <v xml:space="preserve">   Sucres de canne ou de betterave, à l'état solide, additionnés d'aromatisants ou de colorants</v>
      </c>
      <c r="C4197">
        <v>39863564.042000003</v>
      </c>
      <c r="D4197">
        <v>74720</v>
      </c>
    </row>
    <row r="4198" spans="1:4" x14ac:dyDescent="0.25">
      <c r="A4198" t="str">
        <f>T("   170199")</f>
        <v xml:space="preserve">   170199</v>
      </c>
      <c r="B4198"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4198">
        <v>150906959</v>
      </c>
      <c r="D4198">
        <v>355437</v>
      </c>
    </row>
    <row r="4199" spans="1:4" x14ac:dyDescent="0.25">
      <c r="A4199" t="str">
        <f>T("   170219")</f>
        <v xml:space="preserve">   170219</v>
      </c>
      <c r="B4199" t="str">
        <f>T("   Lactose, à l'état solide, et sirop de lactose, sans addition d'aromatisants ou de colorants, contenant en poids &lt; 99% de lactose, exprimé en lactose anhydre calculé sur matière sèche")</f>
        <v xml:space="preserve">   Lactose, à l'état solide, et sirop de lactose, sans addition d'aromatisants ou de colorants, contenant en poids &lt; 99% de lactose, exprimé en lactose anhydre calculé sur matière sèche</v>
      </c>
      <c r="C4199">
        <v>970165</v>
      </c>
      <c r="D4199">
        <v>2624</v>
      </c>
    </row>
    <row r="4200" spans="1:4" x14ac:dyDescent="0.25">
      <c r="A4200" t="str">
        <f>T("   170230")</f>
        <v xml:space="preserve">   170230</v>
      </c>
      <c r="B4200" t="str">
        <f>T("   Glucose, à l'état solide, et sirop de glucose, sans addition d'aromatisants ou de colorants, ne contenant pas de fructose ou contenant en poids à l'état sec &lt; 20% de fructose")</f>
        <v xml:space="preserve">   Glucose, à l'état solide, et sirop de glucose, sans addition d'aromatisants ou de colorants, ne contenant pas de fructose ou contenant en poids à l'état sec &lt; 20% de fructose</v>
      </c>
      <c r="C4200">
        <v>67782</v>
      </c>
      <c r="D4200">
        <v>300</v>
      </c>
    </row>
    <row r="4201" spans="1:4" x14ac:dyDescent="0.25">
      <c r="A4201" t="str">
        <f>T("   170260")</f>
        <v xml:space="preserve">   170260</v>
      </c>
      <c r="B4201" t="str">
        <f>T("   Fructose, à l'état solide, et sirop de fructose, sans addition d'aromatisants ou de colorants, contenant en poids à l'état sec &gt; 50% de fructose (à l'excl. du fructose chimiquement pur et du sucre inverti [ou interverti])")</f>
        <v xml:space="preserve">   Fructose, à l'état solide, et sirop de fructose, sans addition d'aromatisants ou de colorants, contenant en poids à l'état sec &gt; 50% de fructose (à l'excl. du fructose chimiquement pur et du sucre inverti [ou interverti])</v>
      </c>
      <c r="C4201">
        <v>335851</v>
      </c>
      <c r="D4201">
        <v>82</v>
      </c>
    </row>
    <row r="4202" spans="1:4" x14ac:dyDescent="0.25">
      <c r="A4202" t="str">
        <f>T("   170290")</f>
        <v xml:space="preserve">   170290</v>
      </c>
      <c r="B4202" t="s">
        <v>45</v>
      </c>
      <c r="C4202">
        <v>11576665</v>
      </c>
      <c r="D4202">
        <v>4963</v>
      </c>
    </row>
    <row r="4203" spans="1:4" x14ac:dyDescent="0.25">
      <c r="A4203" t="str">
        <f>T("   170410")</f>
        <v xml:space="preserve">   170410</v>
      </c>
      <c r="B4203" t="str">
        <f>T("   Gommes à mâcher [chewing-gum], même enrobées de sucre")</f>
        <v xml:space="preserve">   Gommes à mâcher [chewing-gum], même enrobées de sucre</v>
      </c>
      <c r="C4203">
        <v>1156458</v>
      </c>
      <c r="D4203">
        <v>4048</v>
      </c>
    </row>
    <row r="4204" spans="1:4" x14ac:dyDescent="0.25">
      <c r="A4204" t="str">
        <f>T("   170490")</f>
        <v xml:space="preserve">   170490</v>
      </c>
      <c r="B4204" t="str">
        <f>T("   Sucreries sans cacao, y.c. le chocolat blanc (à l'excl. des gommes à mâcher)")</f>
        <v xml:space="preserve">   Sucreries sans cacao, y.c. le chocolat blanc (à l'excl. des gommes à mâcher)</v>
      </c>
      <c r="C4204">
        <v>164189247</v>
      </c>
      <c r="D4204">
        <v>115365</v>
      </c>
    </row>
    <row r="4205" spans="1:4" x14ac:dyDescent="0.25">
      <c r="A4205" t="str">
        <f>T("   180610")</f>
        <v xml:space="preserve">   180610</v>
      </c>
      <c r="B4205" t="str">
        <f>T("   Poudre de cacao, additionnée de sucre ou d'autres édulcorants")</f>
        <v xml:space="preserve">   Poudre de cacao, additionnée de sucre ou d'autres édulcorants</v>
      </c>
      <c r="C4205">
        <v>3532345</v>
      </c>
      <c r="D4205">
        <v>4906</v>
      </c>
    </row>
    <row r="4206" spans="1:4" x14ac:dyDescent="0.25">
      <c r="A4206" t="str">
        <f>T("   180620")</f>
        <v xml:space="preserve">   180620</v>
      </c>
      <c r="B4206" t="s">
        <v>46</v>
      </c>
      <c r="C4206">
        <v>3646481</v>
      </c>
      <c r="D4206">
        <v>3254</v>
      </c>
    </row>
    <row r="4207" spans="1:4" x14ac:dyDescent="0.25">
      <c r="A4207" t="str">
        <f>T("   180631")</f>
        <v xml:space="preserve">   180631</v>
      </c>
      <c r="B4207" t="str">
        <f>T("   Chocolat et autres préparations alimentaires contenant du cacao, présentés en tablettes, barres ou bâtons, d'un poids &lt;= 2 kg, fourrés")</f>
        <v xml:space="preserve">   Chocolat et autres préparations alimentaires contenant du cacao, présentés en tablettes, barres ou bâtons, d'un poids &lt;= 2 kg, fourrés</v>
      </c>
      <c r="C4207">
        <v>63063377</v>
      </c>
      <c r="D4207">
        <v>37735</v>
      </c>
    </row>
    <row r="4208" spans="1:4" x14ac:dyDescent="0.25">
      <c r="A4208" t="str">
        <f>T("   180632")</f>
        <v xml:space="preserve">   180632</v>
      </c>
      <c r="B4208" t="str">
        <f>T("   CHOCOLAT ET AUTRES PRÉPARATIONS ALIMENTAIRES CONTENANT DU CACAO, PRÉSENTÉS EN TABLETTES, BARRES OU BÂTONS, D'UN POIDS &lt;= 2 KG, NON-FOURRÉS")</f>
        <v xml:space="preserve">   CHOCOLAT ET AUTRES PRÉPARATIONS ALIMENTAIRES CONTENANT DU CACAO, PRÉSENTÉS EN TABLETTES, BARRES OU BÂTONS, D'UN POIDS &lt;= 2 KG, NON-FOURRÉS</v>
      </c>
      <c r="C4208">
        <v>27790981</v>
      </c>
      <c r="D4208">
        <v>21833</v>
      </c>
    </row>
    <row r="4209" spans="1:4" x14ac:dyDescent="0.25">
      <c r="A4209" t="str">
        <f>T("   180690")</f>
        <v xml:space="preserve">   180690</v>
      </c>
      <c r="B4209" t="str">
        <f>T("   Chocolat et autres préparations alimentaires contenant du cacao, en récipients ou en emballages immédiats d'un contenu &lt;= 2 kg (à l'excl. de la poudre de cacao et des produits présentés en tablettes, barres ou bâtons)")</f>
        <v xml:space="preserve">   Chocolat et autres préparations alimentaires contenant du cacao, en récipients ou en emballages immédiats d'un contenu &lt;= 2 kg (à l'excl. de la poudre de cacao et des produits présentés en tablettes, barres ou bâtons)</v>
      </c>
      <c r="C4209">
        <v>77838828</v>
      </c>
      <c r="D4209">
        <v>90627</v>
      </c>
    </row>
    <row r="4210" spans="1:4" x14ac:dyDescent="0.25">
      <c r="A4210" t="str">
        <f>T("   190110")</f>
        <v xml:space="preserve">   190110</v>
      </c>
      <c r="B4210" t="s">
        <v>47</v>
      </c>
      <c r="C4210">
        <v>466890793</v>
      </c>
      <c r="D4210">
        <v>177422</v>
      </c>
    </row>
    <row r="4211" spans="1:4" x14ac:dyDescent="0.25">
      <c r="A4211" t="str">
        <f>T("   190120")</f>
        <v xml:space="preserve">   190120</v>
      </c>
      <c r="B4211" t="s">
        <v>48</v>
      </c>
      <c r="C4211">
        <v>13951534</v>
      </c>
      <c r="D4211">
        <v>6665</v>
      </c>
    </row>
    <row r="4212" spans="1:4" x14ac:dyDescent="0.25">
      <c r="A4212" t="str">
        <f>T("   190190")</f>
        <v xml:space="preserve">   190190</v>
      </c>
      <c r="B4212" t="s">
        <v>49</v>
      </c>
      <c r="C4212">
        <v>116127222</v>
      </c>
      <c r="D4212">
        <v>63261</v>
      </c>
    </row>
    <row r="4213" spans="1:4" x14ac:dyDescent="0.25">
      <c r="A4213" t="str">
        <f>T("   190211")</f>
        <v xml:space="preserve">   190211</v>
      </c>
      <c r="B4213" t="str">
        <f>T("   Pâtes alimentaires non cuites ni farcies ni autrement préparées, contenant des oeufs")</f>
        <v xml:space="preserve">   Pâtes alimentaires non cuites ni farcies ni autrement préparées, contenant des oeufs</v>
      </c>
      <c r="C4213">
        <v>2194186</v>
      </c>
      <c r="D4213">
        <v>1497</v>
      </c>
    </row>
    <row r="4214" spans="1:4" x14ac:dyDescent="0.25">
      <c r="A4214" t="str">
        <f>T("   190219")</f>
        <v xml:space="preserve">   190219</v>
      </c>
      <c r="B4214" t="str">
        <f>T("   PÂTES ALIMENTAIRES NON-CUITES NI FARCIES NI AUTREMENT PRÉPARÉES, NE CONTENANT PAS D'OEUFS")</f>
        <v xml:space="preserve">   PÂTES ALIMENTAIRES NON-CUITES NI FARCIES NI AUTREMENT PRÉPARÉES, NE CONTENANT PAS D'OEUFS</v>
      </c>
      <c r="C4214">
        <v>82569561</v>
      </c>
      <c r="D4214">
        <v>218050</v>
      </c>
    </row>
    <row r="4215" spans="1:4" x14ac:dyDescent="0.25">
      <c r="A4215" t="str">
        <f>T("   190220")</f>
        <v xml:space="preserve">   190220</v>
      </c>
      <c r="B4215" t="str">
        <f>T("   Pâtes alimentaires, farcies de viande ou d'autres substances, même cuites ou autrement préparées")</f>
        <v xml:space="preserve">   Pâtes alimentaires, farcies de viande ou d'autres substances, même cuites ou autrement préparées</v>
      </c>
      <c r="C4215">
        <v>1664827</v>
      </c>
      <c r="D4215">
        <v>2262</v>
      </c>
    </row>
    <row r="4216" spans="1:4" x14ac:dyDescent="0.25">
      <c r="A4216" t="str">
        <f>T("   190230")</f>
        <v xml:space="preserve">   190230</v>
      </c>
      <c r="B4216" t="str">
        <f>T("   Pâtes alimentaires, cuites ou autrement préparées (à l'excl. des pâtes alimentaires farcies)")</f>
        <v xml:space="preserve">   Pâtes alimentaires, cuites ou autrement préparées (à l'excl. des pâtes alimentaires farcies)</v>
      </c>
      <c r="C4216">
        <v>54024788</v>
      </c>
      <c r="D4216">
        <v>227415.5</v>
      </c>
    </row>
    <row r="4217" spans="1:4" x14ac:dyDescent="0.25">
      <c r="A4217" t="str">
        <f>T("   190240")</f>
        <v xml:space="preserve">   190240</v>
      </c>
      <c r="B4217" t="str">
        <f>T("   Couscous, même préparé")</f>
        <v xml:space="preserve">   Couscous, même préparé</v>
      </c>
      <c r="C4217">
        <v>232297646</v>
      </c>
      <c r="D4217">
        <v>631336.72</v>
      </c>
    </row>
    <row r="4218" spans="1:4" x14ac:dyDescent="0.25">
      <c r="A4218" t="str">
        <f>T("   190410")</f>
        <v xml:space="preserve">   190410</v>
      </c>
      <c r="B4218" t="str">
        <f>T("   PRODUITS À BASE DE CÉRÉALES OBTENUS PAR SOUFFLAGE OU GRILLAGE [CORN FLAKES, P.EX.]")</f>
        <v xml:space="preserve">   PRODUITS À BASE DE CÉRÉALES OBTENUS PAR SOUFFLAGE OU GRILLAGE [CORN FLAKES, P.EX.]</v>
      </c>
      <c r="C4218">
        <v>12287803</v>
      </c>
      <c r="D4218">
        <v>12529.99</v>
      </c>
    </row>
    <row r="4219" spans="1:4" x14ac:dyDescent="0.25">
      <c r="A4219" t="str">
        <f>T("   190490")</f>
        <v xml:space="preserve">   190490</v>
      </c>
      <c r="B4219" t="s">
        <v>50</v>
      </c>
      <c r="C4219">
        <v>1297489</v>
      </c>
      <c r="D4219">
        <v>1719</v>
      </c>
    </row>
    <row r="4220" spans="1:4" x14ac:dyDescent="0.25">
      <c r="A4220" t="str">
        <f>T("   190520")</f>
        <v xml:space="preserve">   190520</v>
      </c>
      <c r="B4220" t="str">
        <f>T("   Pain d'épices, même additionné de cacao")</f>
        <v xml:space="preserve">   Pain d'épices, même additionné de cacao</v>
      </c>
      <c r="C4220">
        <v>239425</v>
      </c>
      <c r="D4220">
        <v>1464</v>
      </c>
    </row>
    <row r="4221" spans="1:4" x14ac:dyDescent="0.25">
      <c r="A4221" t="str">
        <f>T("   190531")</f>
        <v xml:space="preserve">   190531</v>
      </c>
      <c r="B4221" t="str">
        <f>T("   Biscuits additionnés d'édulcorants")</f>
        <v xml:space="preserve">   Biscuits additionnés d'édulcorants</v>
      </c>
      <c r="C4221">
        <v>48552770</v>
      </c>
      <c r="D4221">
        <v>51258.51</v>
      </c>
    </row>
    <row r="4222" spans="1:4" x14ac:dyDescent="0.25">
      <c r="A4222" t="str">
        <f>T("   190532")</f>
        <v xml:space="preserve">   190532</v>
      </c>
      <c r="B4222" t="str">
        <f>T("   GAUFRES ET GAUFRETTES")</f>
        <v xml:space="preserve">   GAUFRES ET GAUFRETTES</v>
      </c>
      <c r="C4222">
        <v>195620</v>
      </c>
      <c r="D4222">
        <v>327.87</v>
      </c>
    </row>
    <row r="4223" spans="1:4" x14ac:dyDescent="0.25">
      <c r="A4223" t="str">
        <f>T("   190540")</f>
        <v xml:space="preserve">   190540</v>
      </c>
      <c r="B4223" t="str">
        <f>T("   Biscottes, pain grillé et produits simil. grillés")</f>
        <v xml:space="preserve">   Biscottes, pain grillé et produits simil. grillés</v>
      </c>
      <c r="C4223">
        <v>83235340</v>
      </c>
      <c r="D4223">
        <v>136486</v>
      </c>
    </row>
    <row r="4224" spans="1:4" x14ac:dyDescent="0.25">
      <c r="A4224" t="str">
        <f>T("   190590")</f>
        <v xml:space="preserve">   190590</v>
      </c>
      <c r="B4224" t="s">
        <v>51</v>
      </c>
      <c r="C4224">
        <v>497154332</v>
      </c>
      <c r="D4224">
        <v>514562.41</v>
      </c>
    </row>
    <row r="4225" spans="1:4" x14ac:dyDescent="0.25">
      <c r="A4225" t="str">
        <f>T("   200110")</f>
        <v xml:space="preserve">   200110</v>
      </c>
      <c r="B4225" t="str">
        <f>T("   Concombres et cornichons, préparés ou conservés au vinaigre ou à l'acide acétique")</f>
        <v xml:space="preserve">   Concombres et cornichons, préparés ou conservés au vinaigre ou à l'acide acétique</v>
      </c>
      <c r="C4225">
        <v>1144407</v>
      </c>
      <c r="D4225">
        <v>2242</v>
      </c>
    </row>
    <row r="4226" spans="1:4" x14ac:dyDescent="0.25">
      <c r="A4226" t="str">
        <f>T("   200190")</f>
        <v xml:space="preserve">   200190</v>
      </c>
      <c r="B4226" t="str">
        <f>T("   Légumes, fruits et autres parties comestibles de plantes, préparés ou conservés au vinaigre ou à l'acide acétique (à l'excl. des concombres et des cornichons)")</f>
        <v xml:space="preserve">   Légumes, fruits et autres parties comestibles de plantes, préparés ou conservés au vinaigre ou à l'acide acétique (à l'excl. des concombres et des cornichons)</v>
      </c>
      <c r="C4226">
        <v>2725514</v>
      </c>
      <c r="D4226">
        <v>946</v>
      </c>
    </row>
    <row r="4227" spans="1:4" x14ac:dyDescent="0.25">
      <c r="A4227" t="str">
        <f>T("   200210")</f>
        <v xml:space="preserve">   200210</v>
      </c>
      <c r="B4227" t="str">
        <f>T("   Tomates, entières ou en morceaux, préparées ou conservées autrement qu'au vinaigre ou à l'acide acétique")</f>
        <v xml:space="preserve">   Tomates, entières ou en morceaux, préparées ou conservées autrement qu'au vinaigre ou à l'acide acétique</v>
      </c>
      <c r="C4227">
        <v>5145849</v>
      </c>
      <c r="D4227">
        <v>6979</v>
      </c>
    </row>
    <row r="4228" spans="1:4" x14ac:dyDescent="0.25">
      <c r="A4228" t="str">
        <f>T("   200310")</f>
        <v xml:space="preserve">   200310</v>
      </c>
      <c r="B4228" t="str">
        <f>T("   Champignons du genre 'Agaricus', préparés ou conservés autrement qu'au vinaigre ou à l'acide acétique")</f>
        <v xml:space="preserve">   Champignons du genre 'Agaricus', préparés ou conservés autrement qu'au vinaigre ou à l'acide acétique</v>
      </c>
      <c r="C4228">
        <v>969582</v>
      </c>
      <c r="D4228">
        <v>962.58</v>
      </c>
    </row>
    <row r="4229" spans="1:4" x14ac:dyDescent="0.25">
      <c r="A4229" t="str">
        <f>T("   200390")</f>
        <v xml:space="preserve">   200390</v>
      </c>
      <c r="B4229" t="str">
        <f>T("   Champignons, préparés ou conservés autrement qu'au vinaigre ou à l'acide acétique (à l'excl. des champignons du genre 'Agaricus')")</f>
        <v xml:space="preserve">   Champignons, préparés ou conservés autrement qu'au vinaigre ou à l'acide acétique (à l'excl. des champignons du genre 'Agaricus')</v>
      </c>
      <c r="C4229">
        <v>1890890</v>
      </c>
      <c r="D4229">
        <v>3039</v>
      </c>
    </row>
    <row r="4230" spans="1:4" x14ac:dyDescent="0.25">
      <c r="A4230" t="str">
        <f>T("   200410")</f>
        <v xml:space="preserve">   200410</v>
      </c>
      <c r="B4230" t="str">
        <f>T("   Pommes de terre, préparées ou conservées autrement qu'au vinaigre ou à l'acide acétique, congelées")</f>
        <v xml:space="preserve">   Pommes de terre, préparées ou conservées autrement qu'au vinaigre ou à l'acide acétique, congelées</v>
      </c>
      <c r="C4230">
        <v>38705386</v>
      </c>
      <c r="D4230">
        <v>116291</v>
      </c>
    </row>
    <row r="4231" spans="1:4" x14ac:dyDescent="0.25">
      <c r="A4231" t="str">
        <f>T("   200490")</f>
        <v xml:space="preserve">   200490</v>
      </c>
      <c r="B4231" t="str">
        <f>T("   LÉGUMES ET MÉLANGES DE LÉGUMES, PRÉPARÉS OU CONSERVÉS AUTREMENT QU'AU VINAIGRE OU À L'ACIDE ACÉTIQUE, CONGELÉS (À L'EXCL. DES CONFITS AU SUCRE AINSI QUE DES TOMATES, DES CHAMPIGNONS, DES TRUFFES ET DES POMMES DE TERRE, NON-MÉLANGÉS)")</f>
        <v xml:space="preserve">   LÉGUMES ET MÉLANGES DE LÉGUMES, PRÉPARÉS OU CONSERVÉS AUTREMENT QU'AU VINAIGRE OU À L'ACIDE ACÉTIQUE, CONGELÉS (À L'EXCL. DES CONFITS AU SUCRE AINSI QUE DES TOMATES, DES CHAMPIGNONS, DES TRUFFES ET DES POMMES DE TERRE, NON-MÉLANGÉS)</v>
      </c>
      <c r="C4231">
        <v>15397599</v>
      </c>
      <c r="D4231">
        <v>25541</v>
      </c>
    </row>
    <row r="4232" spans="1:4" x14ac:dyDescent="0.25">
      <c r="A4232" t="str">
        <f>T("   200510")</f>
        <v xml:space="preserve">   200510</v>
      </c>
      <c r="B4232" t="str">
        <f>T("   Légumes, présentés sous la forme de préparations finement homogénéisées, conditionnés pour la vente au détail comme aliments pour enfants ou pour usages diététiques, en récipients d'un contenu &lt;= 250 g")</f>
        <v xml:space="preserve">   Légumes, présentés sous la forme de préparations finement homogénéisées, conditionnés pour la vente au détail comme aliments pour enfants ou pour usages diététiques, en récipients d'un contenu &lt;= 250 g</v>
      </c>
      <c r="C4232">
        <v>619418</v>
      </c>
      <c r="D4232">
        <v>312</v>
      </c>
    </row>
    <row r="4233" spans="1:4" x14ac:dyDescent="0.25">
      <c r="A4233" t="str">
        <f>T("   200520")</f>
        <v xml:space="preserve">   200520</v>
      </c>
      <c r="B4233" t="str">
        <f>T("   POMMES DE TERRE, PRÉPARÉES OU CONSERVÉES AUTREMENT QU'AU VINAIGRE OU À L'ACIDE ACÉTIQUE, NON-CONGELÉES")</f>
        <v xml:space="preserve">   POMMES DE TERRE, PRÉPARÉES OU CONSERVÉES AUTREMENT QU'AU VINAIGRE OU À L'ACIDE ACÉTIQUE, NON-CONGELÉES</v>
      </c>
      <c r="C4233">
        <v>2415238</v>
      </c>
      <c r="D4233">
        <v>4015</v>
      </c>
    </row>
    <row r="4234" spans="1:4" x14ac:dyDescent="0.25">
      <c r="A4234" t="str">
        <f>T("   200540")</f>
        <v xml:space="preserve">   200540</v>
      </c>
      <c r="B4234" t="str">
        <f>T("   Pois [Pisum sativum], préparés ou conservés autrement qu'au vinaigre ou à l'acide acétique, non congelés")</f>
        <v xml:space="preserve">   Pois [Pisum sativum], préparés ou conservés autrement qu'au vinaigre ou à l'acide acétique, non congelés</v>
      </c>
      <c r="C4234">
        <v>31721584</v>
      </c>
      <c r="D4234">
        <v>81825.259999999995</v>
      </c>
    </row>
    <row r="4235" spans="1:4" x14ac:dyDescent="0.25">
      <c r="A4235" t="str">
        <f>T("   200551")</f>
        <v xml:space="preserve">   200551</v>
      </c>
      <c r="B4235" t="str">
        <f>T("   Haricots [Vigna spp., Phaseolus spp.], en grains, préparés ou conservés autrement qu'au vinaigre ou à l'acide acétique, non congelés")</f>
        <v xml:space="preserve">   Haricots [Vigna spp., Phaseolus spp.], en grains, préparés ou conservés autrement qu'au vinaigre ou à l'acide acétique, non congelés</v>
      </c>
      <c r="C4235">
        <v>3020039</v>
      </c>
      <c r="D4235">
        <v>3916</v>
      </c>
    </row>
    <row r="4236" spans="1:4" x14ac:dyDescent="0.25">
      <c r="A4236" t="str">
        <f>T("   200559")</f>
        <v xml:space="preserve">   200559</v>
      </c>
      <c r="B4236" t="str">
        <f>T("   Haricots [Vigna spp., Phaseolus spp.], préparés ou conservés autrement qu'au vinaigre ou à l'acide acétique, non congelés (à l'excl. des haricots en grains)")</f>
        <v xml:space="preserve">   Haricots [Vigna spp., Phaseolus spp.], préparés ou conservés autrement qu'au vinaigre ou à l'acide acétique, non congelés (à l'excl. des haricots en grains)</v>
      </c>
      <c r="C4236">
        <v>6356524</v>
      </c>
      <c r="D4236">
        <v>40184</v>
      </c>
    </row>
    <row r="4237" spans="1:4" x14ac:dyDescent="0.25">
      <c r="A4237" t="str">
        <f>T("   200570")</f>
        <v xml:space="preserve">   200570</v>
      </c>
      <c r="B4237" t="str">
        <f>T("   OLIVES, PRÉPARÉES OU CONSERVÉES AUTREMENT QU'AU VINAIGRE OU À L'ACIDE ACÉTIQUE, NON-CONGELÉES")</f>
        <v xml:space="preserve">   OLIVES, PRÉPARÉES OU CONSERVÉES AUTREMENT QU'AU VINAIGRE OU À L'ACIDE ACÉTIQUE, NON-CONGELÉES</v>
      </c>
      <c r="C4237">
        <v>100244318</v>
      </c>
      <c r="D4237">
        <v>143111</v>
      </c>
    </row>
    <row r="4238" spans="1:4" x14ac:dyDescent="0.25">
      <c r="A4238" t="str">
        <f>T("   200580")</f>
        <v xml:space="preserve">   200580</v>
      </c>
      <c r="B4238" t="str">
        <f>T("   Maïs doux [Zea mays var. saccharata], préparé ou conservé autrement qu'au vinaigre ou à l'acide acétique, non congelé")</f>
        <v xml:space="preserve">   Maïs doux [Zea mays var. saccharata], préparé ou conservé autrement qu'au vinaigre ou à l'acide acétique, non congelé</v>
      </c>
      <c r="C4238">
        <v>4561545</v>
      </c>
      <c r="D4238">
        <v>5629</v>
      </c>
    </row>
    <row r="4239" spans="1:4" x14ac:dyDescent="0.25">
      <c r="A4239" t="str">
        <f>T("   200590")</f>
        <v xml:space="preserve">   200590</v>
      </c>
      <c r="B4239" t="s">
        <v>52</v>
      </c>
      <c r="C4239">
        <v>41864604</v>
      </c>
      <c r="D4239">
        <v>82853</v>
      </c>
    </row>
    <row r="4240" spans="1:4" x14ac:dyDescent="0.25">
      <c r="A4240" t="str">
        <f>T("   200600")</f>
        <v xml:space="preserve">   200600</v>
      </c>
      <c r="B4240" t="str">
        <f>T("   Légumes, fruits, écorces de fruits et autres parties de plantes, confits au sucre [égouttés, glacés ou cristallisés]")</f>
        <v xml:space="preserve">   Légumes, fruits, écorces de fruits et autres parties de plantes, confits au sucre [égouttés, glacés ou cristallisés]</v>
      </c>
      <c r="C4240">
        <v>108233</v>
      </c>
      <c r="D4240">
        <v>42</v>
      </c>
    </row>
    <row r="4241" spans="1:4" x14ac:dyDescent="0.25">
      <c r="A4241" t="str">
        <f>T("   200710")</f>
        <v xml:space="preserve">   200710</v>
      </c>
      <c r="B4241" t="s">
        <v>53</v>
      </c>
      <c r="C4241">
        <v>10218630</v>
      </c>
      <c r="D4241">
        <v>16701</v>
      </c>
    </row>
    <row r="4242" spans="1:4" x14ac:dyDescent="0.25">
      <c r="A4242" t="str">
        <f>T("   200799")</f>
        <v xml:space="preserve">   200799</v>
      </c>
      <c r="B4242" t="s">
        <v>54</v>
      </c>
      <c r="C4242">
        <v>85801090</v>
      </c>
      <c r="D4242">
        <v>86544</v>
      </c>
    </row>
    <row r="4243" spans="1:4" x14ac:dyDescent="0.25">
      <c r="A4243" t="str">
        <f>T("   200870")</f>
        <v xml:space="preserve">   200870</v>
      </c>
      <c r="B4243" t="s">
        <v>56</v>
      </c>
      <c r="C4243">
        <v>747139</v>
      </c>
      <c r="D4243">
        <v>1733</v>
      </c>
    </row>
    <row r="4244" spans="1:4" x14ac:dyDescent="0.25">
      <c r="A4244" t="str">
        <f>T("   200880")</f>
        <v xml:space="preserve">   200880</v>
      </c>
      <c r="B4244" t="str">
        <f>T("   Fraises, préparées ou conservées, avec ou sans addition de sucre ou d'autres édulcorants ou d'alcool, n.d.a.")</f>
        <v xml:space="preserve">   Fraises, préparées ou conservées, avec ou sans addition de sucre ou d'autres édulcorants ou d'alcool, n.d.a.</v>
      </c>
      <c r="C4244">
        <v>3618276</v>
      </c>
      <c r="D4244">
        <v>5636</v>
      </c>
    </row>
    <row r="4245" spans="1:4" x14ac:dyDescent="0.25">
      <c r="A4245" t="str">
        <f>T("   200899")</f>
        <v xml:space="preserve">   200899</v>
      </c>
      <c r="B4245" t="s">
        <v>58</v>
      </c>
      <c r="C4245">
        <v>2681565</v>
      </c>
      <c r="D4245">
        <v>1387</v>
      </c>
    </row>
    <row r="4246" spans="1:4" x14ac:dyDescent="0.25">
      <c r="A4246" t="str">
        <f>T("   200919")</f>
        <v xml:space="preserve">   200919</v>
      </c>
      <c r="B4246" t="str">
        <f>T("   JUS D'ORANGE, NON-FERMENTÉS, SANS ADDITION D'ALCOOL, AVEC OU SANS ADDITION DE SUCRE OU D'AUTRES ÉDULCORANTS (À L'EXCL. DES JUS CONGELÉS ET DES JUS D'UNE VALEUR BRIX &lt;= 20 À 20°C)")</f>
        <v xml:space="preserve">   JUS D'ORANGE, NON-FERMENTÉS, SANS ADDITION D'ALCOOL, AVEC OU SANS ADDITION DE SUCRE OU D'AUTRES ÉDULCORANTS (À L'EXCL. DES JUS CONGELÉS ET DES JUS D'UNE VALEUR BRIX &lt;= 20 À 20°C)</v>
      </c>
      <c r="C4246">
        <v>9194362</v>
      </c>
      <c r="D4246">
        <v>21508</v>
      </c>
    </row>
    <row r="4247" spans="1:4" x14ac:dyDescent="0.25">
      <c r="A4247" t="str">
        <f>T("   200929")</f>
        <v xml:space="preserve">   200929</v>
      </c>
      <c r="B4247" t="str">
        <f>T("   JUS DE PAMPLEMOUSSE OU DE POMELO, NON-FERMENTÉS, SANS ADDITION D'ALCOOL, AVEC OU SANS ADDITION DE SUCRE OU D'AUTRES ÉDULCORANTS, D'UNE VALEUR BRIX &gt; 20 À 20°C")</f>
        <v xml:space="preserve">   JUS DE PAMPLEMOUSSE OU DE POMELO, NON-FERMENTÉS, SANS ADDITION D'ALCOOL, AVEC OU SANS ADDITION DE SUCRE OU D'AUTRES ÉDULCORANTS, D'UNE VALEUR BRIX &gt; 20 À 20°C</v>
      </c>
      <c r="C4247">
        <v>1275186</v>
      </c>
      <c r="D4247">
        <v>1807</v>
      </c>
    </row>
    <row r="4248" spans="1:4" x14ac:dyDescent="0.25">
      <c r="A4248" t="str">
        <f>T("   200939")</f>
        <v xml:space="preserve">   200939</v>
      </c>
      <c r="B4248" t="str">
        <f>T("   JUS D'AGRUMES, NON-FERMENTÉS, SANS ADDITION D'ALCOOL, AVEC OU SANS ADDITION DE SUCRE OU D'AUTRES ÉDULCORANTS, D'UNE VALEUR BRIX &gt; 20 À 20°C (À L'EXCL. DES MÉLANGES AINSI QUE DES JUS D'ORANGE, DE PAMPLEMOUSSE OU DE POMELO)")</f>
        <v xml:space="preserve">   JUS D'AGRUMES, NON-FERMENTÉS, SANS ADDITION D'ALCOOL, AVEC OU SANS ADDITION DE SUCRE OU D'AUTRES ÉDULCORANTS, D'UNE VALEUR BRIX &gt; 20 À 20°C (À L'EXCL. DES MÉLANGES AINSI QUE DES JUS D'ORANGE, DE PAMPLEMOUSSE OU DE POMELO)</v>
      </c>
      <c r="C4248">
        <v>62972</v>
      </c>
      <c r="D4248">
        <v>860</v>
      </c>
    </row>
    <row r="4249" spans="1:4" x14ac:dyDescent="0.25">
      <c r="A4249" t="str">
        <f>T("   200949")</f>
        <v xml:space="preserve">   200949</v>
      </c>
      <c r="B4249" t="str">
        <f>T("   JUS D'ANANAS, NON-FERMENTÉS, SANS ADDITION D'ALCOOL, AVEC OU SANS ADDITION DE SUCRE OU D'AUTRES ÉDULCORANTS, D'UNE VALEUR BRIX &gt; 20 À 20°C")</f>
        <v xml:space="preserve">   JUS D'ANANAS, NON-FERMENTÉS, SANS ADDITION D'ALCOOL, AVEC OU SANS ADDITION DE SUCRE OU D'AUTRES ÉDULCORANTS, D'UNE VALEUR BRIX &gt; 20 À 20°C</v>
      </c>
      <c r="C4249">
        <v>1300462</v>
      </c>
      <c r="D4249">
        <v>5427</v>
      </c>
    </row>
    <row r="4250" spans="1:4" x14ac:dyDescent="0.25">
      <c r="A4250" t="str">
        <f>T("   200950")</f>
        <v xml:space="preserve">   200950</v>
      </c>
      <c r="B4250" t="str">
        <f>T("   JUS DE TOMATE, NON-FERMENTÉS, SANS ADDITION D'ALCOOL, AVEC OU SANS ADDITION DE SUCRE OU D'AUTRES ÉDULCORANTS")</f>
        <v xml:space="preserve">   JUS DE TOMATE, NON-FERMENTÉS, SANS ADDITION D'ALCOOL, AVEC OU SANS ADDITION DE SUCRE OU D'AUTRES ÉDULCORANTS</v>
      </c>
      <c r="C4250">
        <v>38046</v>
      </c>
      <c r="D4250">
        <v>66</v>
      </c>
    </row>
    <row r="4251" spans="1:4" x14ac:dyDescent="0.25">
      <c r="A4251" t="str">
        <f>T("   200969")</f>
        <v xml:space="preserve">   200969</v>
      </c>
      <c r="B4251" t="str">
        <f>T("   JUS DE RAISIN - Y.C. LES MOÛTS DE RAISIN -, NON-FERMENTÉS, SANS ADDITION D'ALCOOL, AVEC OU SANS ADDITION DE SUCRE OU D'AUTRES ÉDULCORANTS, D'UNE VALEUR BRIX &gt; 30 À 20°C")</f>
        <v xml:space="preserve">   JUS DE RAISIN - Y.C. LES MOÛTS DE RAISIN -, NON-FERMENTÉS, SANS ADDITION D'ALCOOL, AVEC OU SANS ADDITION DE SUCRE OU D'AUTRES ÉDULCORANTS, D'UNE VALEUR BRIX &gt; 30 À 20°C</v>
      </c>
      <c r="C4251">
        <v>8082968</v>
      </c>
      <c r="D4251">
        <v>26556</v>
      </c>
    </row>
    <row r="4252" spans="1:4" x14ac:dyDescent="0.25">
      <c r="A4252" t="str">
        <f>T("   200979")</f>
        <v xml:space="preserve">   200979</v>
      </c>
      <c r="B4252" t="str">
        <f>T("   JUS DE POMME, NON-FERMENTÉS, SANS ADDITION D'ALCOOL, AVEC OU SANS ADDITION DE SUCRE OU D'AUTRES ÉDULCORANTS, D'UNE VALEUR BRIX &gt; 20 À 20°C")</f>
        <v xml:space="preserve">   JUS DE POMME, NON-FERMENTÉS, SANS ADDITION D'ALCOOL, AVEC OU SANS ADDITION DE SUCRE OU D'AUTRES ÉDULCORANTS, D'UNE VALEUR BRIX &gt; 20 À 20°C</v>
      </c>
      <c r="C4252">
        <v>2608989</v>
      </c>
      <c r="D4252">
        <v>7815</v>
      </c>
    </row>
    <row r="4253" spans="1:4" x14ac:dyDescent="0.25">
      <c r="A4253" t="str">
        <f>T("   200980")</f>
        <v xml:space="preserve">   200980</v>
      </c>
      <c r="B4253"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4253">
        <v>101423933</v>
      </c>
      <c r="D4253">
        <v>117098</v>
      </c>
    </row>
    <row r="4254" spans="1:4" x14ac:dyDescent="0.25">
      <c r="A4254" t="str">
        <f>T("   200990")</f>
        <v xml:space="preserve">   200990</v>
      </c>
      <c r="B4254"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4254">
        <v>16682820</v>
      </c>
      <c r="D4254">
        <v>39925</v>
      </c>
    </row>
    <row r="4255" spans="1:4" x14ac:dyDescent="0.25">
      <c r="A4255" t="str">
        <f>T("   210111")</f>
        <v xml:space="preserve">   210111</v>
      </c>
      <c r="B4255" t="str">
        <f>T("   Extraits, essences et concentrés de café")</f>
        <v xml:space="preserve">   Extraits, essences et concentrés de café</v>
      </c>
      <c r="C4255">
        <v>3202305</v>
      </c>
      <c r="D4255">
        <v>3239</v>
      </c>
    </row>
    <row r="4256" spans="1:4" x14ac:dyDescent="0.25">
      <c r="A4256" t="str">
        <f>T("   210112")</f>
        <v xml:space="preserve">   210112</v>
      </c>
      <c r="B4256" t="str">
        <f>T("   Préparations à base d'extraits, essences ou concentrés de café ou à base de café")</f>
        <v xml:space="preserve">   Préparations à base d'extraits, essences ou concentrés de café ou à base de café</v>
      </c>
      <c r="C4256">
        <v>4027539</v>
      </c>
      <c r="D4256">
        <v>4726</v>
      </c>
    </row>
    <row r="4257" spans="1:4" x14ac:dyDescent="0.25">
      <c r="A4257" t="str">
        <f>T("   210120")</f>
        <v xml:space="preserve">   210120</v>
      </c>
      <c r="B4257" t="str">
        <f>T("   Extraits, essences et concentrés de thé ou de maté et préparations à base de ces extraits, essences et concentrés ou à base de thé ou de maté")</f>
        <v xml:space="preserve">   Extraits, essences et concentrés de thé ou de maté et préparations à base de ces extraits, essences et concentrés ou à base de thé ou de maté</v>
      </c>
      <c r="C4257">
        <v>450645</v>
      </c>
      <c r="D4257">
        <v>1149</v>
      </c>
    </row>
    <row r="4258" spans="1:4" x14ac:dyDescent="0.25">
      <c r="A4258" t="str">
        <f>T("   210210")</f>
        <v xml:space="preserve">   210210</v>
      </c>
      <c r="B4258" t="str">
        <f>T("   Levures vivantes")</f>
        <v xml:space="preserve">   Levures vivantes</v>
      </c>
      <c r="C4258">
        <v>240647</v>
      </c>
      <c r="D4258">
        <v>1017</v>
      </c>
    </row>
    <row r="4259" spans="1:4" x14ac:dyDescent="0.25">
      <c r="A4259" t="str">
        <f>T("   210230")</f>
        <v xml:space="preserve">   210230</v>
      </c>
      <c r="B4259" t="str">
        <f>T("   Poudres à lever préparées")</f>
        <v xml:space="preserve">   Poudres à lever préparées</v>
      </c>
      <c r="C4259">
        <v>25287108</v>
      </c>
      <c r="D4259">
        <v>18202</v>
      </c>
    </row>
    <row r="4260" spans="1:4" x14ac:dyDescent="0.25">
      <c r="A4260" t="str">
        <f>T("   210320")</f>
        <v xml:space="preserve">   210320</v>
      </c>
      <c r="B4260" t="str">
        <f>T("   Tomato ketchup et autres sauces tomates")</f>
        <v xml:space="preserve">   Tomato ketchup et autres sauces tomates</v>
      </c>
      <c r="C4260">
        <v>2299526</v>
      </c>
      <c r="D4260">
        <v>3627</v>
      </c>
    </row>
    <row r="4261" spans="1:4" x14ac:dyDescent="0.25">
      <c r="A4261" t="str">
        <f>T("   210330")</f>
        <v xml:space="preserve">   210330</v>
      </c>
      <c r="B4261" t="str">
        <f>T("   Farine de moutarde et moutarde préparée")</f>
        <v xml:space="preserve">   Farine de moutarde et moutarde préparée</v>
      </c>
      <c r="C4261">
        <v>26258742</v>
      </c>
      <c r="D4261">
        <v>59708</v>
      </c>
    </row>
    <row r="4262" spans="1:4" x14ac:dyDescent="0.25">
      <c r="A4262" t="str">
        <f>T("   210390")</f>
        <v xml:space="preserve">   210390</v>
      </c>
      <c r="B4262"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4262">
        <v>66567754</v>
      </c>
      <c r="D4262">
        <v>122290</v>
      </c>
    </row>
    <row r="4263" spans="1:4" x14ac:dyDescent="0.25">
      <c r="A4263" t="str">
        <f>T("   210410")</f>
        <v xml:space="preserve">   210410</v>
      </c>
      <c r="B4263" t="str">
        <f>T("   Préparations pour soupes, potages ou bouillons; soupes, potages ou bouillons préparés")</f>
        <v xml:space="preserve">   Préparations pour soupes, potages ou bouillons; soupes, potages ou bouillons préparés</v>
      </c>
      <c r="C4263">
        <v>5967926</v>
      </c>
      <c r="D4263">
        <v>9072</v>
      </c>
    </row>
    <row r="4264" spans="1:4" x14ac:dyDescent="0.25">
      <c r="A4264" t="str">
        <f>T("   210420")</f>
        <v xml:space="preserve">   210420</v>
      </c>
      <c r="B4264" t="s">
        <v>59</v>
      </c>
      <c r="C4264">
        <v>8561750</v>
      </c>
      <c r="D4264">
        <v>5325</v>
      </c>
    </row>
    <row r="4265" spans="1:4" x14ac:dyDescent="0.25">
      <c r="A4265" t="str">
        <f>T("   210500")</f>
        <v xml:space="preserve">   210500</v>
      </c>
      <c r="B4265" t="str">
        <f>T("   Glaces de consommation, même contenant du cacao")</f>
        <v xml:space="preserve">   Glaces de consommation, même contenant du cacao</v>
      </c>
      <c r="C4265">
        <v>125465952</v>
      </c>
      <c r="D4265">
        <v>93167</v>
      </c>
    </row>
    <row r="4266" spans="1:4" x14ac:dyDescent="0.25">
      <c r="A4266" t="str">
        <f>T("   210610")</f>
        <v xml:space="preserve">   210610</v>
      </c>
      <c r="B4266" t="str">
        <f>T("   Concentrats de protéines et substances protéiques texturées")</f>
        <v xml:space="preserve">   Concentrats de protéines et substances protéiques texturées</v>
      </c>
      <c r="C4266">
        <v>4423664</v>
      </c>
      <c r="D4266">
        <v>7529</v>
      </c>
    </row>
    <row r="4267" spans="1:4" x14ac:dyDescent="0.25">
      <c r="A4267" t="str">
        <f>T("   210690")</f>
        <v xml:space="preserve">   210690</v>
      </c>
      <c r="B4267" t="str">
        <f>T("   Préparations alimentaires, n.d.a.")</f>
        <v xml:space="preserve">   Préparations alimentaires, n.d.a.</v>
      </c>
      <c r="C4267">
        <v>2957231817</v>
      </c>
      <c r="D4267">
        <v>782325</v>
      </c>
    </row>
    <row r="4268" spans="1:4" x14ac:dyDescent="0.25">
      <c r="A4268" t="str">
        <f>T("   220110")</f>
        <v xml:space="preserve">   220110</v>
      </c>
      <c r="B4268" t="str">
        <f>T("   Eaux minérales et eaux gazéifiées, non additionnées de sucre ou d'autres édulcorants ni aromatisées")</f>
        <v xml:space="preserve">   Eaux minérales et eaux gazéifiées, non additionnées de sucre ou d'autres édulcorants ni aromatisées</v>
      </c>
      <c r="C4268">
        <v>59414263</v>
      </c>
      <c r="D4268">
        <v>253326</v>
      </c>
    </row>
    <row r="4269" spans="1:4" x14ac:dyDescent="0.25">
      <c r="A4269" t="str">
        <f>T("   220190")</f>
        <v xml:space="preserve">   220190</v>
      </c>
      <c r="B4269" t="str">
        <f>T("   Eaux, non additionnées de sucre ou d'autres édulcorants ni aromatisées (à l'excl. des eaux minérales, des eaux gazéifiées, de l'eau de mer ainsi que des eaux distillées, de conductibilité ou de même degré de pureté); glace et neige")</f>
        <v xml:space="preserve">   Eaux, non additionnées de sucre ou d'autres édulcorants ni aromatisées (à l'excl. des eaux minérales, des eaux gazéifiées, de l'eau de mer ainsi que des eaux distillées, de conductibilité ou de même degré de pureté); glace et neige</v>
      </c>
      <c r="C4269">
        <v>19917471</v>
      </c>
      <c r="D4269">
        <v>102921</v>
      </c>
    </row>
    <row r="4270" spans="1:4" x14ac:dyDescent="0.25">
      <c r="A4270" t="str">
        <f>T("   220210")</f>
        <v xml:space="preserve">   220210</v>
      </c>
      <c r="B4270"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4270">
        <v>53134118</v>
      </c>
      <c r="D4270">
        <v>129314.82</v>
      </c>
    </row>
    <row r="4271" spans="1:4" x14ac:dyDescent="0.25">
      <c r="A4271" t="str">
        <f>T("   220290")</f>
        <v xml:space="preserve">   220290</v>
      </c>
      <c r="B4271" t="str">
        <f>T("   BOISSONS NON-ALCOOLIQUES (À L'EXCL. DES EAUX, DES JUS DE FRUITS OU DE LÉGUMES AINSI QUE DU LAIT)")</f>
        <v xml:space="preserve">   BOISSONS NON-ALCOOLIQUES (À L'EXCL. DES EAUX, DES JUS DE FRUITS OU DE LÉGUMES AINSI QUE DU LAIT)</v>
      </c>
      <c r="C4271">
        <v>79818253</v>
      </c>
      <c r="D4271">
        <v>209453.41</v>
      </c>
    </row>
    <row r="4272" spans="1:4" x14ac:dyDescent="0.25">
      <c r="A4272" t="str">
        <f>T("   220300")</f>
        <v xml:space="preserve">   220300</v>
      </c>
      <c r="B4272" t="str">
        <f>T("   Bières de malt")</f>
        <v xml:space="preserve">   Bières de malt</v>
      </c>
      <c r="C4272">
        <v>48263486</v>
      </c>
      <c r="D4272">
        <v>171060</v>
      </c>
    </row>
    <row r="4273" spans="1:4" x14ac:dyDescent="0.25">
      <c r="A4273" t="str">
        <f>T("   220410")</f>
        <v xml:space="preserve">   220410</v>
      </c>
      <c r="B4273" t="str">
        <f>T("   Vins mousseux produits à partir de raisins frais")</f>
        <v xml:space="preserve">   Vins mousseux produits à partir de raisins frais</v>
      </c>
      <c r="C4273">
        <v>158803545</v>
      </c>
      <c r="D4273">
        <v>91058.61</v>
      </c>
    </row>
    <row r="4274" spans="1:4" x14ac:dyDescent="0.25">
      <c r="A4274" t="str">
        <f>T("   220421")</f>
        <v xml:space="preserve">   220421</v>
      </c>
      <c r="B4274" t="str">
        <f>T("   Vins de raisins frais, y.c. les vins enrichis en alcool (à l'excl. des vins mousseux); moûts de raisins dont la fermentation a été empêchée ou arrêtée par addition d'alcool, en récipients d'une contenance &lt;= 2 l")</f>
        <v xml:space="preserve">   Vins de raisins frais, y.c. les vins enrichis en alcool (à l'excl. des vins mousseux); moûts de raisins dont la fermentation a été empêchée ou arrêtée par addition d'alcool, en récipients d'une contenance &lt;= 2 l</v>
      </c>
      <c r="C4274">
        <v>641939428</v>
      </c>
      <c r="D4274">
        <v>721084.96</v>
      </c>
    </row>
    <row r="4275" spans="1:4" x14ac:dyDescent="0.25">
      <c r="A4275" t="str">
        <f>T("   220429")</f>
        <v xml:space="preserve">   220429</v>
      </c>
      <c r="B4275" t="str">
        <f>T("   VINS DE RAISINS FRAIS, Y.C. LES VINS ENRICHIS EN ALCOOL, ET MOÛTS DE RAISINS DONT LA FERMENTATION A ÉTÉ EMPÊCHÉE OU ARRÊTÉE PAR ADDITION D'ALCOOL, EN RÉCIPIENTS D'UNE CONTENANCE &gt; 2 L (À L'EXCL. DES VINS MOUSSEUX)")</f>
        <v xml:space="preserve">   VINS DE RAISINS FRAIS, Y.C. LES VINS ENRICHIS EN ALCOOL, ET MOÛTS DE RAISINS DONT LA FERMENTATION A ÉTÉ EMPÊCHÉE OU ARRÊTÉE PAR ADDITION D'ALCOOL, EN RÉCIPIENTS D'UNE CONTENANCE &gt; 2 L (À L'EXCL. DES VINS MOUSSEUX)</v>
      </c>
      <c r="C4275">
        <v>216742532</v>
      </c>
      <c r="D4275">
        <v>431951</v>
      </c>
    </row>
    <row r="4276" spans="1:4" x14ac:dyDescent="0.25">
      <c r="A4276" t="str">
        <f>T("   220430")</f>
        <v xml:space="preserve">   220430</v>
      </c>
      <c r="B4276" t="str">
        <f>T("   Moûts de raisins, partiellement fermentés, ayant un titre alcoométrique acquis &gt; 0,5% vol (à l'excl. des moûts de raisins dont la fermentation a été empêchée ou arrêtée par addition d'alcool)")</f>
        <v xml:space="preserve">   Moûts de raisins, partiellement fermentés, ayant un titre alcoométrique acquis &gt; 0,5% vol (à l'excl. des moûts de raisins dont la fermentation a été empêchée ou arrêtée par addition d'alcool)</v>
      </c>
      <c r="C4276">
        <v>17713556</v>
      </c>
      <c r="D4276">
        <v>64942.11</v>
      </c>
    </row>
    <row r="4277" spans="1:4" x14ac:dyDescent="0.25">
      <c r="A4277" t="str">
        <f>T("   220510")</f>
        <v xml:space="preserve">   220510</v>
      </c>
      <c r="B4277" t="str">
        <f>T("   Vermouths et autres vins de raisins frais préparés à l'aide de plantes ou de substances aromatiques, en récipients d'une contenance &lt;= 2 l")</f>
        <v xml:space="preserve">   Vermouths et autres vins de raisins frais préparés à l'aide de plantes ou de substances aromatiques, en récipients d'une contenance &lt;= 2 l</v>
      </c>
      <c r="C4277">
        <v>202141</v>
      </c>
      <c r="D4277">
        <v>397</v>
      </c>
    </row>
    <row r="4278" spans="1:4" x14ac:dyDescent="0.25">
      <c r="A4278" t="str">
        <f>T("   220590")</f>
        <v xml:space="preserve">   220590</v>
      </c>
      <c r="B4278" t="str">
        <f>T("   Vermouths et autres vins de raisins frais préparés à l'aide de plantes ou de substances aromatiques, en récipients d'une contenance &gt; 2 l")</f>
        <v xml:space="preserve">   Vermouths et autres vins de raisins frais préparés à l'aide de plantes ou de substances aromatiques, en récipients d'une contenance &gt; 2 l</v>
      </c>
      <c r="C4278">
        <v>367721</v>
      </c>
      <c r="D4278">
        <v>572</v>
      </c>
    </row>
    <row r="4279" spans="1:4" x14ac:dyDescent="0.25">
      <c r="A4279" t="str">
        <f>T("   220600")</f>
        <v xml:space="preserve">   220600</v>
      </c>
      <c r="B4279" t="s">
        <v>60</v>
      </c>
      <c r="C4279">
        <v>50487392</v>
      </c>
      <c r="D4279">
        <v>195412</v>
      </c>
    </row>
    <row r="4280" spans="1:4" x14ac:dyDescent="0.25">
      <c r="A4280" t="str">
        <f>T("   220710")</f>
        <v xml:space="preserve">   220710</v>
      </c>
      <c r="B4280" t="str">
        <f>T("   Alcool éthylique non dénaturé d'un titre alcoométrique volumique &gt;= 80% vol")</f>
        <v xml:space="preserve">   Alcool éthylique non dénaturé d'un titre alcoométrique volumique &gt;= 80% vol</v>
      </c>
      <c r="C4280">
        <v>12337296</v>
      </c>
      <c r="D4280">
        <v>14069</v>
      </c>
    </row>
    <row r="4281" spans="1:4" x14ac:dyDescent="0.25">
      <c r="A4281" t="str">
        <f>T("   220720")</f>
        <v xml:space="preserve">   220720</v>
      </c>
      <c r="B4281" t="str">
        <f>T("   Alcool éthylique et eaux-de-vie dénaturés de tous titres")</f>
        <v xml:space="preserve">   Alcool éthylique et eaux-de-vie dénaturés de tous titres</v>
      </c>
      <c r="C4281">
        <v>3356549</v>
      </c>
      <c r="D4281">
        <v>6433</v>
      </c>
    </row>
    <row r="4282" spans="1:4" x14ac:dyDescent="0.25">
      <c r="A4282" t="str">
        <f>T("   220820")</f>
        <v xml:space="preserve">   220820</v>
      </c>
      <c r="B4282" t="str">
        <f>T("   Eaux-de-vie de vin ou de marc de raisins")</f>
        <v xml:space="preserve">   Eaux-de-vie de vin ou de marc de raisins</v>
      </c>
      <c r="C4282">
        <v>2454950</v>
      </c>
      <c r="D4282">
        <v>7312</v>
      </c>
    </row>
    <row r="4283" spans="1:4" x14ac:dyDescent="0.25">
      <c r="A4283" t="str">
        <f>T("   220830")</f>
        <v xml:space="preserve">   220830</v>
      </c>
      <c r="B4283" t="str">
        <f>T("   Whiskies")</f>
        <v xml:space="preserve">   Whiskies</v>
      </c>
      <c r="C4283">
        <v>47998932</v>
      </c>
      <c r="D4283">
        <v>45096</v>
      </c>
    </row>
    <row r="4284" spans="1:4" x14ac:dyDescent="0.25">
      <c r="A4284" t="str">
        <f>T("   220840")</f>
        <v xml:space="preserve">   220840</v>
      </c>
      <c r="B4284" t="str">
        <f>T("   RHUM ET AUTRES EAUX-DE-VIE PROVENANT DE LA DISTILLATION, APRÈS FERMENTATION, DE PRODUITS DE CANNES À SUCRE")</f>
        <v xml:space="preserve">   RHUM ET AUTRES EAUX-DE-VIE PROVENANT DE LA DISTILLATION, APRÈS FERMENTATION, DE PRODUITS DE CANNES À SUCRE</v>
      </c>
      <c r="C4284">
        <v>35309778</v>
      </c>
      <c r="D4284">
        <v>45064</v>
      </c>
    </row>
    <row r="4285" spans="1:4" x14ac:dyDescent="0.25">
      <c r="A4285" t="str">
        <f>T("   220850")</f>
        <v xml:space="preserve">   220850</v>
      </c>
      <c r="B4285" t="str">
        <f>T("   Gin et genièvre")</f>
        <v xml:space="preserve">   Gin et genièvre</v>
      </c>
      <c r="C4285">
        <v>57020858</v>
      </c>
      <c r="D4285">
        <v>148705</v>
      </c>
    </row>
    <row r="4286" spans="1:4" x14ac:dyDescent="0.25">
      <c r="A4286" t="str">
        <f>T("   220860")</f>
        <v xml:space="preserve">   220860</v>
      </c>
      <c r="B4286" t="str">
        <f>T("   VODKA")</f>
        <v xml:space="preserve">   VODKA</v>
      </c>
      <c r="C4286">
        <v>2794239</v>
      </c>
      <c r="D4286">
        <v>10535</v>
      </c>
    </row>
    <row r="4287" spans="1:4" x14ac:dyDescent="0.25">
      <c r="A4287" t="str">
        <f>T("   220870")</f>
        <v xml:space="preserve">   220870</v>
      </c>
      <c r="B4287" t="str">
        <f>T("   LIQUEURS")</f>
        <v xml:space="preserve">   LIQUEURS</v>
      </c>
      <c r="C4287">
        <v>63901713</v>
      </c>
      <c r="D4287">
        <v>84136</v>
      </c>
    </row>
    <row r="4288" spans="1:4" x14ac:dyDescent="0.25">
      <c r="A4288" t="str">
        <f>T("   220890")</f>
        <v xml:space="preserve">   220890</v>
      </c>
      <c r="B4288" t="s">
        <v>61</v>
      </c>
      <c r="C4288">
        <v>97434627</v>
      </c>
      <c r="D4288">
        <v>240170</v>
      </c>
    </row>
    <row r="4289" spans="1:4" x14ac:dyDescent="0.25">
      <c r="A4289" t="str">
        <f>T("   220900")</f>
        <v xml:space="preserve">   220900</v>
      </c>
      <c r="B4289" t="str">
        <f>T("   Vinaigres comestibles et succédanés de vinaigre comestibles obtenus à partir d'acide acétique")</f>
        <v xml:space="preserve">   Vinaigres comestibles et succédanés de vinaigre comestibles obtenus à partir d'acide acétique</v>
      </c>
      <c r="C4289">
        <v>10607627</v>
      </c>
      <c r="D4289">
        <v>48907.55</v>
      </c>
    </row>
    <row r="4290" spans="1:4" x14ac:dyDescent="0.25">
      <c r="A4290" t="str">
        <f>T("   230910")</f>
        <v xml:space="preserve">   230910</v>
      </c>
      <c r="B4290" t="str">
        <f>T("   Aliments pour chiens ou chats, conditionnés pour la vente au détail")</f>
        <v xml:space="preserve">   Aliments pour chiens ou chats, conditionnés pour la vente au détail</v>
      </c>
      <c r="C4290">
        <v>33193313</v>
      </c>
      <c r="D4290">
        <v>53255</v>
      </c>
    </row>
    <row r="4291" spans="1:4" x14ac:dyDescent="0.25">
      <c r="A4291" t="str">
        <f>T("   230990")</f>
        <v xml:space="preserve">   230990</v>
      </c>
      <c r="B4291" t="str">
        <f>T("   Préparations des types utilisés pour l'alimentation des animaux (à l'excl. des aliments pour chiens ou chats conditionnés pour la vente au détail)")</f>
        <v xml:space="preserve">   Préparations des types utilisés pour l'alimentation des animaux (à l'excl. des aliments pour chiens ou chats conditionnés pour la vente au détail)</v>
      </c>
      <c r="C4291">
        <v>144110825</v>
      </c>
      <c r="D4291">
        <v>292374</v>
      </c>
    </row>
    <row r="4292" spans="1:4" x14ac:dyDescent="0.25">
      <c r="A4292" t="str">
        <f>T("   240210")</f>
        <v xml:space="preserve">   240210</v>
      </c>
      <c r="B4292" t="str">
        <f>T("   Cigares, y.c. ceux à bouts coupés, et cigarillos, contenant du tabac")</f>
        <v xml:space="preserve">   Cigares, y.c. ceux à bouts coupés, et cigarillos, contenant du tabac</v>
      </c>
      <c r="C4292">
        <v>171179</v>
      </c>
      <c r="D4292">
        <v>100</v>
      </c>
    </row>
    <row r="4293" spans="1:4" x14ac:dyDescent="0.25">
      <c r="A4293" t="str">
        <f>T("   240290")</f>
        <v xml:space="preserve">   240290</v>
      </c>
      <c r="B4293" t="str">
        <f>T("   Cigares, cigarillos et cigarettes, en succédanés du tabac")</f>
        <v xml:space="preserve">   Cigares, cigarillos et cigarettes, en succédanés du tabac</v>
      </c>
      <c r="C4293">
        <v>30000</v>
      </c>
      <c r="D4293">
        <v>20</v>
      </c>
    </row>
    <row r="4294" spans="1:4" x14ac:dyDescent="0.25">
      <c r="A4294" t="str">
        <f>T("   250100")</f>
        <v xml:space="preserve">   250100</v>
      </c>
      <c r="B4294" t="s">
        <v>63</v>
      </c>
      <c r="C4294">
        <v>10243538</v>
      </c>
      <c r="D4294">
        <v>81265</v>
      </c>
    </row>
    <row r="4295" spans="1:4" x14ac:dyDescent="0.25">
      <c r="A4295" t="str">
        <f>T("   250510")</f>
        <v xml:space="preserve">   250510</v>
      </c>
      <c r="B4295" t="str">
        <f>T("   Sables siliceux et sables quartzeux, même colorés")</f>
        <v xml:space="preserve">   Sables siliceux et sables quartzeux, même colorés</v>
      </c>
      <c r="C4295">
        <v>8160062</v>
      </c>
      <c r="D4295">
        <v>25046</v>
      </c>
    </row>
    <row r="4296" spans="1:4" x14ac:dyDescent="0.25">
      <c r="A4296" t="str">
        <f>T("   250590")</f>
        <v xml:space="preserve">   250590</v>
      </c>
      <c r="B4296" t="str">
        <f>T("   Sables naturels de toute espèce, même colorés (à l'excl. des sables aurifères, platinifères, monazités, bitumineux, asphaltiques, siliceux ou quartzeux ainsi que des sables de zircon, de rutile ou d'ilménite)")</f>
        <v xml:space="preserve">   Sables naturels de toute espèce, même colorés (à l'excl. des sables aurifères, platinifères, monazités, bitumineux, asphaltiques, siliceux ou quartzeux ainsi que des sables de zircon, de rutile ou d'ilménite)</v>
      </c>
      <c r="C4296">
        <v>752387</v>
      </c>
      <c r="D4296">
        <v>3600</v>
      </c>
    </row>
    <row r="4297" spans="1:4" x14ac:dyDescent="0.25">
      <c r="A4297" t="str">
        <f>T("   250810")</f>
        <v xml:space="preserve">   250810</v>
      </c>
      <c r="B4297" t="str">
        <f>T("   Bentonite")</f>
        <v xml:space="preserve">   Bentonite</v>
      </c>
      <c r="C4297">
        <v>56189105</v>
      </c>
      <c r="D4297">
        <v>242451</v>
      </c>
    </row>
    <row r="4298" spans="1:4" x14ac:dyDescent="0.25">
      <c r="A4298" t="str">
        <f>T("   250840")</f>
        <v xml:space="preserve">   250840</v>
      </c>
      <c r="B4298" t="str">
        <f>T("   Argiles (à l'excl. des argiles réfractaires ou expansées ainsi que du kaolin et des autres argiles kaoliniques)")</f>
        <v xml:space="preserve">   Argiles (à l'excl. des argiles réfractaires ou expansées ainsi que du kaolin et des autres argiles kaoliniques)</v>
      </c>
      <c r="C4298">
        <v>10641324</v>
      </c>
      <c r="D4298">
        <v>4388</v>
      </c>
    </row>
    <row r="4299" spans="1:4" x14ac:dyDescent="0.25">
      <c r="A4299" t="str">
        <f>T("   250900")</f>
        <v xml:space="preserve">   250900</v>
      </c>
      <c r="B4299" t="str">
        <f>T("   Craie")</f>
        <v xml:space="preserve">   Craie</v>
      </c>
      <c r="C4299">
        <v>30165914</v>
      </c>
      <c r="D4299">
        <v>272500</v>
      </c>
    </row>
    <row r="4300" spans="1:4" x14ac:dyDescent="0.25">
      <c r="A4300" t="str">
        <f>T("   251200")</f>
        <v xml:space="preserve">   251200</v>
      </c>
      <c r="B4300" t="str">
        <f>T("   Farines siliceuses fossiles [kieselguhr, tripolite, diatomite, par exemple] et autres terres siliceuses analogues, d'une densité apparente &lt;= 1, même calcinées")</f>
        <v xml:space="preserve">   Farines siliceuses fossiles [kieselguhr, tripolite, diatomite, par exemple] et autres terres siliceuses analogues, d'une densité apparente &lt;= 1, même calcinées</v>
      </c>
      <c r="C4300">
        <v>116134437</v>
      </c>
      <c r="D4300">
        <v>182877</v>
      </c>
    </row>
    <row r="4301" spans="1:4" x14ac:dyDescent="0.25">
      <c r="A4301" t="str">
        <f>T("   251741")</f>
        <v xml:space="preserve">   251741</v>
      </c>
      <c r="B4301" t="str">
        <f>T("   Granulés, éclats et poudres de marbre, même traités thermiquement")</f>
        <v xml:space="preserve">   Granulés, éclats et poudres de marbre, même traités thermiquement</v>
      </c>
      <c r="C4301">
        <v>1833506</v>
      </c>
      <c r="D4301">
        <v>25840</v>
      </c>
    </row>
    <row r="4302" spans="1:4" x14ac:dyDescent="0.25">
      <c r="A4302" t="str">
        <f>T("   252020")</f>
        <v xml:space="preserve">   252020</v>
      </c>
      <c r="B4302" t="str">
        <f>T("   Plâtres, même colorés ou additionnés de faibles quantités d'accélérateurs ou de retardateurs")</f>
        <v xml:space="preserve">   Plâtres, même colorés ou additionnés de faibles quantités d'accélérateurs ou de retardateurs</v>
      </c>
      <c r="C4302">
        <v>21376750</v>
      </c>
      <c r="D4302">
        <v>617400</v>
      </c>
    </row>
    <row r="4303" spans="1:4" x14ac:dyDescent="0.25">
      <c r="A4303" t="str">
        <f>T("   252220")</f>
        <v xml:space="preserve">   252220</v>
      </c>
      <c r="B4303" t="str">
        <f>T("   Chaux éteinte")</f>
        <v xml:space="preserve">   Chaux éteinte</v>
      </c>
      <c r="C4303">
        <v>45753207</v>
      </c>
      <c r="D4303">
        <v>320355</v>
      </c>
    </row>
    <row r="4304" spans="1:4" x14ac:dyDescent="0.25">
      <c r="A4304" t="str">
        <f>T("   252329")</f>
        <v xml:space="preserve">   252329</v>
      </c>
      <c r="B4304" t="str">
        <f>T("   Ciment Portland normal ou modéré (à l'excl. des ciments Portland blancs, même colorés artificiellement)")</f>
        <v xml:space="preserve">   Ciment Portland normal ou modéré (à l'excl. des ciments Portland blancs, même colorés artificiellement)</v>
      </c>
      <c r="C4304">
        <v>751295454</v>
      </c>
      <c r="D4304">
        <v>19763836</v>
      </c>
    </row>
    <row r="4305" spans="1:4" x14ac:dyDescent="0.25">
      <c r="A4305" t="str">
        <f>T("   252390")</f>
        <v xml:space="preserve">   252390</v>
      </c>
      <c r="B4305" t="str">
        <f>T("   Ciments, même colorés (à l'excl. des ciments Portland et des ciments alumineux)")</f>
        <v xml:space="preserve">   Ciments, même colorés (à l'excl. des ciments Portland et des ciments alumineux)</v>
      </c>
      <c r="C4305">
        <v>9945010</v>
      </c>
      <c r="D4305">
        <v>4252</v>
      </c>
    </row>
    <row r="4306" spans="1:4" x14ac:dyDescent="0.25">
      <c r="A4306" t="str">
        <f>T("   252620")</f>
        <v xml:space="preserve">   252620</v>
      </c>
      <c r="B4306" t="str">
        <f>T("   Stéatite naturelle, broyée ou pulvérisée")</f>
        <v xml:space="preserve">   Stéatite naturelle, broyée ou pulvérisée</v>
      </c>
      <c r="C4306">
        <v>7999431</v>
      </c>
      <c r="D4306">
        <v>37508</v>
      </c>
    </row>
    <row r="4307" spans="1:4" x14ac:dyDescent="0.25">
      <c r="A4307" t="str">
        <f>T("   252890")</f>
        <v xml:space="preserve">   252890</v>
      </c>
      <c r="B4307" t="str">
        <f>T("   Borates naturels et leurs concentrés, calcinés ou non (à l'excl. des borates de sodium et leurs concentrés ainsi que des borates extraits des saumures naturelles); acide borique naturel titrant &lt;= 85% de H3BO3 sur produit sec")</f>
        <v xml:space="preserve">   Borates naturels et leurs concentrés, calcinés ou non (à l'excl. des borates de sodium et leurs concentrés ainsi que des borates extraits des saumures naturelles); acide borique naturel titrant &lt;= 85% de H3BO3 sur produit sec</v>
      </c>
      <c r="C4307">
        <v>116316873</v>
      </c>
      <c r="D4307">
        <v>4584</v>
      </c>
    </row>
    <row r="4308" spans="1:4" x14ac:dyDescent="0.25">
      <c r="A4308" t="str">
        <f>T("   253090")</f>
        <v xml:space="preserve">   253090</v>
      </c>
      <c r="B4308" t="str">
        <f>T("   Sulfures d'arsenic, alunite, terre de pouzzolane, terres colorantes et autres matières minérales, n.d.a.")</f>
        <v xml:space="preserve">   Sulfures d'arsenic, alunite, terre de pouzzolane, terres colorantes et autres matières minérales, n.d.a.</v>
      </c>
      <c r="C4308">
        <v>32732404</v>
      </c>
      <c r="D4308">
        <v>109200</v>
      </c>
    </row>
    <row r="4309" spans="1:4" x14ac:dyDescent="0.25">
      <c r="A4309" t="str">
        <f>T("   261400")</f>
        <v xml:space="preserve">   261400</v>
      </c>
      <c r="B4309" t="str">
        <f>T("   Minerais de titane et leurs concentrés")</f>
        <v xml:space="preserve">   Minerais de titane et leurs concentrés</v>
      </c>
      <c r="C4309">
        <v>11843358</v>
      </c>
      <c r="D4309">
        <v>10402</v>
      </c>
    </row>
    <row r="4310" spans="1:4" x14ac:dyDescent="0.25">
      <c r="A4310" t="str">
        <f>T("   270300")</f>
        <v xml:space="preserve">   270300</v>
      </c>
      <c r="B4310" t="str">
        <f>T("   Tourbe, y.c. la tourbe pour litière, même agglomérée")</f>
        <v xml:space="preserve">   Tourbe, y.c. la tourbe pour litière, même agglomérée</v>
      </c>
      <c r="C4310">
        <v>66252</v>
      </c>
      <c r="D4310">
        <v>90</v>
      </c>
    </row>
    <row r="4311" spans="1:4" x14ac:dyDescent="0.25">
      <c r="A4311" t="str">
        <f>T("   270730")</f>
        <v xml:space="preserve">   270730</v>
      </c>
      <c r="B4311" t="str">
        <f>T("   XYLOL 'XYLÈNES' CONTENANT &gt; 50% DE XYLÈNES (À L'EXCL. DES PRODUITS DE CONSTITUTION CHIMIQUE DÉFINIE)")</f>
        <v xml:space="preserve">   XYLOL 'XYLÈNES' CONTENANT &gt; 50% DE XYLÈNES (À L'EXCL. DES PRODUITS DE CONSTITUTION CHIMIQUE DÉFINIE)</v>
      </c>
      <c r="C4311">
        <v>4034154</v>
      </c>
      <c r="D4311">
        <v>6300</v>
      </c>
    </row>
    <row r="4312" spans="1:4" x14ac:dyDescent="0.25">
      <c r="A4312" t="str">
        <f>T("   270750")</f>
        <v xml:space="preserve">   270750</v>
      </c>
      <c r="B4312" t="str">
        <f>T("   MÉLANGES D'HYDROCARBURES AROMATIQUES DISTILLANT &gt;= 65% DE LEUR VOLUME, Y.C. LES PERTES, À 250°C D'APRÈS LA MÉTHODE ASTM D 86 (À L'EXCL. DES PRODUITS DE CONSTITUTION CHIMIQUE DÉFINIE)")</f>
        <v xml:space="preserve">   MÉLANGES D'HYDROCARBURES AROMATIQUES DISTILLANT &gt;= 65% DE LEUR VOLUME, Y.C. LES PERTES, À 250°C D'APRÈS LA MÉTHODE ASTM D 86 (À L'EXCL. DES PRODUITS DE CONSTITUTION CHIMIQUE DÉFINIE)</v>
      </c>
      <c r="C4312">
        <v>1254241</v>
      </c>
      <c r="D4312">
        <v>392</v>
      </c>
    </row>
    <row r="4313" spans="1:4" x14ac:dyDescent="0.25">
      <c r="A4313" t="str">
        <f>T("   271011")</f>
        <v xml:space="preserve">   271011</v>
      </c>
      <c r="B4313"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4313">
        <v>178009705</v>
      </c>
      <c r="D4313">
        <v>460939</v>
      </c>
    </row>
    <row r="4314" spans="1:4" x14ac:dyDescent="0.25">
      <c r="A4314" t="str">
        <f>T("   271019")</f>
        <v xml:space="preserve">   271019</v>
      </c>
      <c r="B4314" t="str">
        <f>T("   Huiles moyennes et préparations, de pétrole ou de minéraux bitumineux, n.d.a.")</f>
        <v xml:space="preserve">   Huiles moyennes et préparations, de pétrole ou de minéraux bitumineux, n.d.a.</v>
      </c>
      <c r="C4314">
        <v>4457269915</v>
      </c>
      <c r="D4314">
        <v>11240821</v>
      </c>
    </row>
    <row r="4315" spans="1:4" x14ac:dyDescent="0.25">
      <c r="A4315" t="str">
        <f>T("   271099")</f>
        <v xml:space="preserve">   271099</v>
      </c>
      <c r="B4315" t="str">
        <f>T("   Déchets d'huiles contenant principalement des huiles de pétrole ou de minéraux bitumineux (à l'excl. des celles contenant des diphényles polychlorés [PCB], des terphényles polychlorés [PCT] ou des diphényles polybromés [PBB])")</f>
        <v xml:space="preserve">   Déchets d'huiles contenant principalement des huiles de pétrole ou de minéraux bitumineux (à l'excl. des celles contenant des diphényles polychlorés [PCB], des terphényles polychlorés [PCT] ou des diphényles polybromés [PBB])</v>
      </c>
      <c r="C4315">
        <v>347121</v>
      </c>
      <c r="D4315">
        <v>61</v>
      </c>
    </row>
    <row r="4316" spans="1:4" x14ac:dyDescent="0.25">
      <c r="A4316" t="str">
        <f>T("   271113")</f>
        <v xml:space="preserve">   271113</v>
      </c>
      <c r="B4316" t="str">
        <f>T("   Butanes, liquéfiés (à l'excl. des butanes d'une pureté &gt;= 95% en n-butane ou en isobutane)")</f>
        <v xml:space="preserve">   Butanes, liquéfiés (à l'excl. des butanes d'une pureté &gt;= 95% en n-butane ou en isobutane)</v>
      </c>
      <c r="C4316">
        <v>32952458</v>
      </c>
      <c r="D4316">
        <v>59881</v>
      </c>
    </row>
    <row r="4317" spans="1:4" x14ac:dyDescent="0.25">
      <c r="A4317" t="str">
        <f>T("   271119")</f>
        <v xml:space="preserve">   271119</v>
      </c>
      <c r="B4317" t="str">
        <f>T("   Hydrocarbures gazeux, liquéfiés, n.d.a. (à l'excl. du gaz naturel, du propane, des butanes, de l'éthylène, du propylène, du butylène et du butadiène)")</f>
        <v xml:space="preserve">   Hydrocarbures gazeux, liquéfiés, n.d.a. (à l'excl. du gaz naturel, du propane, des butanes, de l'éthylène, du propylène, du butylène et du butadiène)</v>
      </c>
      <c r="C4317">
        <v>1737572</v>
      </c>
      <c r="D4317">
        <v>116</v>
      </c>
    </row>
    <row r="4318" spans="1:4" x14ac:dyDescent="0.25">
      <c r="A4318" t="str">
        <f>T("   271320")</f>
        <v xml:space="preserve">   271320</v>
      </c>
      <c r="B4318" t="str">
        <f>T("   Bitume de pétrole")</f>
        <v xml:space="preserve">   Bitume de pétrole</v>
      </c>
      <c r="C4318">
        <v>57031119</v>
      </c>
      <c r="D4318">
        <v>108001</v>
      </c>
    </row>
    <row r="4319" spans="1:4" x14ac:dyDescent="0.25">
      <c r="A4319" t="str">
        <f>T("   271500")</f>
        <v xml:space="preserve">   271500</v>
      </c>
      <c r="B4319" t="str">
        <f>T("   Mastics bitumineux, 'cut-backs' et autres mélanges bitumineux à base d'asphalte ou de bitume naturels, de bitume de pétrole, de goudron minéral ou de brai de goudron minéral")</f>
        <v xml:space="preserve">   Mastics bitumineux, 'cut-backs' et autres mélanges bitumineux à base d'asphalte ou de bitume naturels, de bitume de pétrole, de goudron minéral ou de brai de goudron minéral</v>
      </c>
      <c r="C4319">
        <v>43716367</v>
      </c>
      <c r="D4319">
        <v>78194</v>
      </c>
    </row>
    <row r="4320" spans="1:4" x14ac:dyDescent="0.25">
      <c r="A4320" t="str">
        <f>T("   280110")</f>
        <v xml:space="preserve">   280110</v>
      </c>
      <c r="B4320" t="str">
        <f>T("   Chlore")</f>
        <v xml:space="preserve">   Chlore</v>
      </c>
      <c r="C4320">
        <v>2014515</v>
      </c>
      <c r="D4320">
        <v>2779</v>
      </c>
    </row>
    <row r="4321" spans="1:4" x14ac:dyDescent="0.25">
      <c r="A4321" t="str">
        <f>T("   280300")</f>
        <v xml:space="preserve">   280300</v>
      </c>
      <c r="B4321" t="str">
        <f>T("   Carbone [noirs de carbone et autres formes de carbone, n.d.a.]")</f>
        <v xml:space="preserve">   Carbone [noirs de carbone et autres formes de carbone, n.d.a.]</v>
      </c>
      <c r="C4321">
        <v>5762609</v>
      </c>
      <c r="D4321">
        <v>1952</v>
      </c>
    </row>
    <row r="4322" spans="1:4" x14ac:dyDescent="0.25">
      <c r="A4322" t="str">
        <f>T("   280421")</f>
        <v xml:space="preserve">   280421</v>
      </c>
      <c r="B4322" t="str">
        <f>T("   Argon")</f>
        <v xml:space="preserve">   Argon</v>
      </c>
      <c r="C4322">
        <v>4570079</v>
      </c>
      <c r="D4322">
        <v>1420</v>
      </c>
    </row>
    <row r="4323" spans="1:4" x14ac:dyDescent="0.25">
      <c r="A4323" t="str">
        <f>T("   280429")</f>
        <v xml:space="preserve">   280429</v>
      </c>
      <c r="B4323" t="str">
        <f>T("   Gaz rares (à l'excl. de l'argon)")</f>
        <v xml:space="preserve">   Gaz rares (à l'excl. de l'argon)</v>
      </c>
      <c r="C4323">
        <v>528704</v>
      </c>
      <c r="D4323">
        <v>186</v>
      </c>
    </row>
    <row r="4324" spans="1:4" x14ac:dyDescent="0.25">
      <c r="A4324" t="str">
        <f>T("   280430")</f>
        <v xml:space="preserve">   280430</v>
      </c>
      <c r="B4324" t="str">
        <f>T("   Azote")</f>
        <v xml:space="preserve">   Azote</v>
      </c>
      <c r="C4324">
        <v>361434</v>
      </c>
      <c r="D4324">
        <v>100</v>
      </c>
    </row>
    <row r="4325" spans="1:4" x14ac:dyDescent="0.25">
      <c r="A4325" t="str">
        <f>T("   280610")</f>
        <v xml:space="preserve">   280610</v>
      </c>
      <c r="B4325" t="str">
        <f>T("   Chlorure d'hydrogène [acide chlorhydrique]")</f>
        <v xml:space="preserve">   Chlorure d'hydrogène [acide chlorhydrique]</v>
      </c>
      <c r="C4325">
        <v>6237006</v>
      </c>
      <c r="D4325">
        <v>24091</v>
      </c>
    </row>
    <row r="4326" spans="1:4" x14ac:dyDescent="0.25">
      <c r="A4326" t="str">
        <f>T("   280700")</f>
        <v xml:space="preserve">   280700</v>
      </c>
      <c r="B4326" t="str">
        <f>T("   Acide sulfurique; oléum")</f>
        <v xml:space="preserve">   Acide sulfurique; oléum</v>
      </c>
      <c r="C4326">
        <v>9136748</v>
      </c>
      <c r="D4326">
        <v>49248</v>
      </c>
    </row>
    <row r="4327" spans="1:4" x14ac:dyDescent="0.25">
      <c r="A4327" t="str">
        <f>T("   280800")</f>
        <v xml:space="preserve">   280800</v>
      </c>
      <c r="B4327" t="str">
        <f>T("   Acide nitrique; acides sulfonitriques")</f>
        <v xml:space="preserve">   Acide nitrique; acides sulfonitriques</v>
      </c>
      <c r="C4327">
        <v>1662859</v>
      </c>
      <c r="D4327">
        <v>153</v>
      </c>
    </row>
    <row r="4328" spans="1:4" x14ac:dyDescent="0.25">
      <c r="A4328" t="str">
        <f>T("   280920")</f>
        <v xml:space="preserve">   280920</v>
      </c>
      <c r="B4328" t="str">
        <f>T("   Acide phosphorique; acides polyphosphoriques, de constitution chimique définie ou non")</f>
        <v xml:space="preserve">   Acide phosphorique; acides polyphosphoriques, de constitution chimique définie ou non</v>
      </c>
      <c r="C4328">
        <v>12027682</v>
      </c>
      <c r="D4328">
        <v>9146</v>
      </c>
    </row>
    <row r="4329" spans="1:4" x14ac:dyDescent="0.25">
      <c r="A4329" t="str">
        <f>T("   281000")</f>
        <v xml:space="preserve">   281000</v>
      </c>
      <c r="B4329" t="str">
        <f>T("   Oxydes de bore; acides boriques")</f>
        <v xml:space="preserve">   Oxydes de bore; acides boriques</v>
      </c>
      <c r="C4329">
        <v>859964</v>
      </c>
      <c r="D4329">
        <v>29</v>
      </c>
    </row>
    <row r="4330" spans="1:4" x14ac:dyDescent="0.25">
      <c r="A4330" t="str">
        <f>T("   281122")</f>
        <v xml:space="preserve">   281122</v>
      </c>
      <c r="B4330" t="str">
        <f>T("   Dioxyde de silicium")</f>
        <v xml:space="preserve">   Dioxyde de silicium</v>
      </c>
      <c r="C4330">
        <v>11880749</v>
      </c>
      <c r="D4330">
        <v>3828</v>
      </c>
    </row>
    <row r="4331" spans="1:4" x14ac:dyDescent="0.25">
      <c r="A4331" t="str">
        <f>T("   281129")</f>
        <v xml:space="preserve">   281129</v>
      </c>
      <c r="B4331" t="str">
        <f>T("   COMPOSÉS OXYGÉNÉS INORGANIQUES DES ÉLÉMENTS NON-MÉTALLIQUES (À L'EXCL. DU PENTAOXYDE DE DIPHOSPHORE, DES OXYDES DE BORE AINSI QUE DES DIOXYDES DE CARBONE OU DE SILICIUM)")</f>
        <v xml:space="preserve">   COMPOSÉS OXYGÉNÉS INORGANIQUES DES ÉLÉMENTS NON-MÉTALLIQUES (À L'EXCL. DU PENTAOXYDE DE DIPHOSPHORE, DES OXYDES DE BORE AINSI QUE DES DIOXYDES DE CARBONE OU DE SILICIUM)</v>
      </c>
      <c r="C4331">
        <v>339787</v>
      </c>
      <c r="D4331">
        <v>25</v>
      </c>
    </row>
    <row r="4332" spans="1:4" x14ac:dyDescent="0.25">
      <c r="A4332" t="str">
        <f>T("   281410")</f>
        <v xml:space="preserve">   281410</v>
      </c>
      <c r="B4332" t="str">
        <f>T("   AMMONIAC ANHYDRE")</f>
        <v xml:space="preserve">   AMMONIAC ANHYDRE</v>
      </c>
      <c r="C4332">
        <v>11795473</v>
      </c>
      <c r="D4332">
        <v>2558</v>
      </c>
    </row>
    <row r="4333" spans="1:4" x14ac:dyDescent="0.25">
      <c r="A4333" t="str">
        <f>T("   281420")</f>
        <v xml:space="preserve">   281420</v>
      </c>
      <c r="B4333" t="str">
        <f>T("   Ammoniac en solution aqueuse [ammoniaque]")</f>
        <v xml:space="preserve">   Ammoniac en solution aqueuse [ammoniaque]</v>
      </c>
      <c r="C4333">
        <v>8566976</v>
      </c>
      <c r="D4333">
        <v>6460</v>
      </c>
    </row>
    <row r="4334" spans="1:4" x14ac:dyDescent="0.25">
      <c r="A4334" t="str">
        <f>T("   281511")</f>
        <v xml:space="preserve">   281511</v>
      </c>
      <c r="B4334" t="str">
        <f>T("   Hydroxyde de sodium [soude caustique], solide")</f>
        <v xml:space="preserve">   Hydroxyde de sodium [soude caustique], solide</v>
      </c>
      <c r="C4334">
        <v>62913123</v>
      </c>
      <c r="D4334">
        <v>186080</v>
      </c>
    </row>
    <row r="4335" spans="1:4" x14ac:dyDescent="0.25">
      <c r="A4335" t="str">
        <f>T("   281512")</f>
        <v xml:space="preserve">   281512</v>
      </c>
      <c r="B4335" t="str">
        <f>T("   Hydroxyde de sodium en solution aqueuse [lessive de soude caustique]")</f>
        <v xml:space="preserve">   Hydroxyde de sodium en solution aqueuse [lessive de soude caustique]</v>
      </c>
      <c r="C4335">
        <v>516241</v>
      </c>
      <c r="D4335">
        <v>490</v>
      </c>
    </row>
    <row r="4336" spans="1:4" x14ac:dyDescent="0.25">
      <c r="A4336" t="str">
        <f>T("   281820")</f>
        <v xml:space="preserve">   281820</v>
      </c>
      <c r="B4336" t="str">
        <f>T("   OXYDE D'ALUMINIUM (SAUF CORINDON ARTIFICIEL) [01/01/1988-31/12/1991: OXYDE D'ALUMINIUM (À L'EXCL. DU CORINDON ARTIFICIEL)]")</f>
        <v xml:space="preserve">   OXYDE D'ALUMINIUM (SAUF CORINDON ARTIFICIEL) [01/01/1988-31/12/1991: OXYDE D'ALUMINIUM (À L'EXCL. DU CORINDON ARTIFICIEL)]</v>
      </c>
      <c r="C4336">
        <v>17055</v>
      </c>
      <c r="D4336">
        <v>40</v>
      </c>
    </row>
    <row r="4337" spans="1:4" x14ac:dyDescent="0.25">
      <c r="A4337" t="str">
        <f>T("   282110")</f>
        <v xml:space="preserve">   282110</v>
      </c>
      <c r="B4337" t="str">
        <f>T("   Oxydes et hydroxydes de fer")</f>
        <v xml:space="preserve">   Oxydes et hydroxydes de fer</v>
      </c>
      <c r="C4337">
        <v>3677319</v>
      </c>
      <c r="D4337">
        <v>700</v>
      </c>
    </row>
    <row r="4338" spans="1:4" x14ac:dyDescent="0.25">
      <c r="A4338" t="str">
        <f>T("   282550")</f>
        <v xml:space="preserve">   282550</v>
      </c>
      <c r="B4338" t="str">
        <f>T("   Oxydes et hydroxydes de cuivre")</f>
        <v xml:space="preserve">   Oxydes et hydroxydes de cuivre</v>
      </c>
      <c r="C4338">
        <v>2235511</v>
      </c>
      <c r="D4338">
        <v>300</v>
      </c>
    </row>
    <row r="4339" spans="1:4" x14ac:dyDescent="0.25">
      <c r="A4339" t="str">
        <f>T("   282619")</f>
        <v xml:space="preserve">   282619</v>
      </c>
      <c r="B4339" t="str">
        <f>T("   FLUORURES (À L'EXCL. DES FLUORURES D'ALUMINIUM ET DU MERCURE)")</f>
        <v xml:space="preserve">   FLUORURES (À L'EXCL. DES FLUORURES D'ALUMINIUM ET DU MERCURE)</v>
      </c>
      <c r="C4339">
        <v>708437</v>
      </c>
      <c r="D4339">
        <v>6</v>
      </c>
    </row>
    <row r="4340" spans="1:4" x14ac:dyDescent="0.25">
      <c r="A4340" t="str">
        <f>T("   282710")</f>
        <v xml:space="preserve">   282710</v>
      </c>
      <c r="B4340" t="str">
        <f>T("   Chlorure d'ammonium")</f>
        <v xml:space="preserve">   Chlorure d'ammonium</v>
      </c>
      <c r="C4340">
        <v>371929</v>
      </c>
      <c r="D4340">
        <v>2</v>
      </c>
    </row>
    <row r="4341" spans="1:4" x14ac:dyDescent="0.25">
      <c r="A4341" t="str">
        <f>T("   282720")</f>
        <v xml:space="preserve">   282720</v>
      </c>
      <c r="B4341" t="str">
        <f>T("   Chlorure de calcium")</f>
        <v xml:space="preserve">   Chlorure de calcium</v>
      </c>
      <c r="C4341">
        <v>7952204</v>
      </c>
      <c r="D4341">
        <v>6667</v>
      </c>
    </row>
    <row r="4342" spans="1:4" x14ac:dyDescent="0.25">
      <c r="A4342" t="str">
        <f>T("   282736")</f>
        <v xml:space="preserve">   282736</v>
      </c>
      <c r="B4342" t="str">
        <f>T("   CHLORURE DE ZINC")</f>
        <v xml:space="preserve">   CHLORURE DE ZINC</v>
      </c>
      <c r="C4342">
        <v>81995</v>
      </c>
      <c r="D4342">
        <v>13</v>
      </c>
    </row>
    <row r="4343" spans="1:4" x14ac:dyDescent="0.25">
      <c r="A4343" t="str">
        <f>T("   282739")</f>
        <v xml:space="preserve">   282739</v>
      </c>
      <c r="B4343" t="str">
        <f>T("   CHLORURES (À L'EXCL. DES CHLORURES D'AMMONIUM, DE CALCIUM, DE MAGNÉSIUM, D'ALUMINIUM, DE NICKEL ET DE MERCURE)")</f>
        <v xml:space="preserve">   CHLORURES (À L'EXCL. DES CHLORURES D'AMMONIUM, DE CALCIUM, DE MAGNÉSIUM, D'ALUMINIUM, DE NICKEL ET DE MERCURE)</v>
      </c>
      <c r="C4343">
        <v>1786180</v>
      </c>
      <c r="D4343">
        <v>44</v>
      </c>
    </row>
    <row r="4344" spans="1:4" x14ac:dyDescent="0.25">
      <c r="A4344" t="str">
        <f>T("   282890")</f>
        <v xml:space="preserve">   282890</v>
      </c>
      <c r="B4344" t="str">
        <f>T("   Hypochlorites, chlorites et hypobromites (à l'excl. des hypochlorites de calcium)")</f>
        <v xml:space="preserve">   Hypochlorites, chlorites et hypobromites (à l'excl. des hypochlorites de calcium)</v>
      </c>
      <c r="C4344">
        <v>40717796</v>
      </c>
      <c r="D4344">
        <v>126832</v>
      </c>
    </row>
    <row r="4345" spans="1:4" x14ac:dyDescent="0.25">
      <c r="A4345" t="str">
        <f>T("   283220")</f>
        <v xml:space="preserve">   283220</v>
      </c>
      <c r="B4345" t="str">
        <f>T("   Sulfites (autres que de sodium)")</f>
        <v xml:space="preserve">   Sulfites (autres que de sodium)</v>
      </c>
      <c r="C4345">
        <v>5039741</v>
      </c>
      <c r="D4345">
        <v>1926</v>
      </c>
    </row>
    <row r="4346" spans="1:4" x14ac:dyDescent="0.25">
      <c r="A4346" t="str">
        <f>T("   283326")</f>
        <v xml:space="preserve">   283326</v>
      </c>
      <c r="B4346" t="str">
        <f>T("   SULFATE DE ZINC")</f>
        <v xml:space="preserve">   SULFATE DE ZINC</v>
      </c>
      <c r="C4346">
        <v>589708</v>
      </c>
      <c r="D4346">
        <v>73</v>
      </c>
    </row>
    <row r="4347" spans="1:4" x14ac:dyDescent="0.25">
      <c r="A4347" t="str">
        <f>T("   283327")</f>
        <v xml:space="preserve">   283327</v>
      </c>
      <c r="B4347" t="str">
        <f>T("   SULFATE DE BARYUM")</f>
        <v xml:space="preserve">   SULFATE DE BARYUM</v>
      </c>
      <c r="C4347">
        <v>209907</v>
      </c>
      <c r="D4347">
        <v>5</v>
      </c>
    </row>
    <row r="4348" spans="1:4" x14ac:dyDescent="0.25">
      <c r="A4348" t="str">
        <f>T("   283329")</f>
        <v xml:space="preserve">   283329</v>
      </c>
      <c r="B4348" t="str">
        <f>T("   SULFATES (AUTRES QUE DE SODIUM, DE MAGNÉSIUM, D'ALUMINIUM, DE NICKEL, DE CUIVRE, DE BARYUM OU DE MERCURE)")</f>
        <v xml:space="preserve">   SULFATES (AUTRES QUE DE SODIUM, DE MAGNÉSIUM, D'ALUMINIUM, DE NICKEL, DE CUIVRE, DE BARYUM OU DE MERCURE)</v>
      </c>
      <c r="C4348">
        <v>3117778</v>
      </c>
      <c r="D4348">
        <v>8213</v>
      </c>
    </row>
    <row r="4349" spans="1:4" x14ac:dyDescent="0.25">
      <c r="A4349" t="str">
        <f>T("   283529")</f>
        <v xml:space="preserve">   283529</v>
      </c>
      <c r="B4349" t="str">
        <f>T("   PHOSPHATES (À L'EXCL. DES PHOSPHATES DE MONOSODIUM, DE DISODIUM, DE POTASSIUM, DE CALCIUM ET DU MERCURE)")</f>
        <v xml:space="preserve">   PHOSPHATES (À L'EXCL. DES PHOSPHATES DE MONOSODIUM, DE DISODIUM, DE POTASSIUM, DE CALCIUM ET DU MERCURE)</v>
      </c>
      <c r="C4349">
        <v>684822</v>
      </c>
      <c r="D4349">
        <v>224</v>
      </c>
    </row>
    <row r="4350" spans="1:4" x14ac:dyDescent="0.25">
      <c r="A4350" t="str">
        <f>T("   283539")</f>
        <v xml:space="preserve">   283539</v>
      </c>
      <c r="B4350" t="str">
        <f>T("   Polyphosphates, de constitution chimique définie ou non (à l'excl. du triphosphate de sodium [tripolyphosphate de sodium])")</f>
        <v xml:space="preserve">   Polyphosphates, de constitution chimique définie ou non (à l'excl. du triphosphate de sodium [tripolyphosphate de sodium])</v>
      </c>
      <c r="C4350">
        <v>2063118</v>
      </c>
      <c r="D4350">
        <v>732</v>
      </c>
    </row>
    <row r="4351" spans="1:4" x14ac:dyDescent="0.25">
      <c r="A4351" t="str">
        <f>T("   283630")</f>
        <v xml:space="preserve">   283630</v>
      </c>
      <c r="B4351" t="str">
        <f>T("   Hydrogénocarbonate [bicarbonate] de sodium")</f>
        <v xml:space="preserve">   Hydrogénocarbonate [bicarbonate] de sodium</v>
      </c>
      <c r="C4351">
        <v>3855076</v>
      </c>
      <c r="D4351">
        <v>13200</v>
      </c>
    </row>
    <row r="4352" spans="1:4" x14ac:dyDescent="0.25">
      <c r="A4352" t="str">
        <f>T("   283650")</f>
        <v xml:space="preserve">   283650</v>
      </c>
      <c r="B4352" t="str">
        <f>T("   Carbonate de calcium")</f>
        <v xml:space="preserve">   Carbonate de calcium</v>
      </c>
      <c r="C4352">
        <v>34197071</v>
      </c>
      <c r="D4352">
        <v>241001</v>
      </c>
    </row>
    <row r="4353" spans="1:4" x14ac:dyDescent="0.25">
      <c r="A4353" t="str">
        <f>T("   283670")</f>
        <v xml:space="preserve">   283670</v>
      </c>
      <c r="B4353" t="str">
        <f>T("   Carbonates de plomb")</f>
        <v xml:space="preserve">   Carbonates de plomb</v>
      </c>
      <c r="C4353">
        <v>3199544</v>
      </c>
      <c r="D4353">
        <v>858</v>
      </c>
    </row>
    <row r="4354" spans="1:4" x14ac:dyDescent="0.25">
      <c r="A4354" t="str">
        <f>T("   283699")</f>
        <v xml:space="preserve">   283699</v>
      </c>
      <c r="B4354" t="s">
        <v>65</v>
      </c>
      <c r="C4354">
        <v>1300769</v>
      </c>
      <c r="D4354">
        <v>2961</v>
      </c>
    </row>
    <row r="4355" spans="1:4" x14ac:dyDescent="0.25">
      <c r="A4355" t="str">
        <f>T("   283990")</f>
        <v xml:space="preserve">   283990</v>
      </c>
      <c r="B4355" t="str">
        <f>T("   SILICATES, Y.C. LES SILICATES DES MÉTAUX ALCALINS DU COMMERCE (À L'EXCL. DES SILICATES DE SODIUM)")</f>
        <v xml:space="preserve">   SILICATES, Y.C. LES SILICATES DES MÉTAUX ALCALINS DU COMMERCE (À L'EXCL. DES SILICATES DE SODIUM)</v>
      </c>
      <c r="C4355">
        <v>3963310</v>
      </c>
      <c r="D4355">
        <v>2641</v>
      </c>
    </row>
    <row r="4356" spans="1:4" x14ac:dyDescent="0.25">
      <c r="A4356" t="str">
        <f>T("   284700")</f>
        <v xml:space="preserve">   284700</v>
      </c>
      <c r="B4356" t="str">
        <f>T("   Peroxyde d'hydrogène [eau oxygénée], même solidifié avec de l'urée")</f>
        <v xml:space="preserve">   Peroxyde d'hydrogène [eau oxygénée], même solidifié avec de l'urée</v>
      </c>
      <c r="C4356">
        <v>1599231</v>
      </c>
      <c r="D4356">
        <v>238</v>
      </c>
    </row>
    <row r="4357" spans="1:4" x14ac:dyDescent="0.25">
      <c r="A4357" t="str">
        <f>T("   285100")</f>
        <v xml:space="preserve">   285100</v>
      </c>
      <c r="B4357" t="str">
        <f>T("   Composés inorganiques, y.c. les eaux distillées, de conductibilité ou de même degré de pureté, n.d.a.; air liquide, y.c. l'air liquide dont les gaz ont été éliminés; air comprimé; amalgames (autres que de métaux précieux)")</f>
        <v xml:space="preserve">   Composés inorganiques, y.c. les eaux distillées, de conductibilité ou de même degré de pureté, n.d.a.; air liquide, y.c. l'air liquide dont les gaz ont été éliminés; air comprimé; amalgames (autres que de métaux précieux)</v>
      </c>
      <c r="C4357">
        <v>1159738</v>
      </c>
      <c r="D4357">
        <v>1150</v>
      </c>
    </row>
    <row r="4358" spans="1:4" x14ac:dyDescent="0.25">
      <c r="A4358" t="str">
        <f>T("   290110")</f>
        <v xml:space="preserve">   290110</v>
      </c>
      <c r="B4358" t="str">
        <f>T("   Hydrocarbures acycliques, saturés")</f>
        <v xml:space="preserve">   Hydrocarbures acycliques, saturés</v>
      </c>
      <c r="C4358">
        <v>27930120</v>
      </c>
      <c r="D4358">
        <v>31540</v>
      </c>
    </row>
    <row r="4359" spans="1:4" x14ac:dyDescent="0.25">
      <c r="A4359" t="str">
        <f>T("   290219")</f>
        <v xml:space="preserve">   290219</v>
      </c>
      <c r="B4359" t="str">
        <f>T("   Hydrocarbures cyclaniques, cycléniques ou cycloterpéniques (à l'excl. du cyclohexane)")</f>
        <v xml:space="preserve">   Hydrocarbures cyclaniques, cycléniques ou cycloterpéniques (à l'excl. du cyclohexane)</v>
      </c>
      <c r="C4359">
        <v>2520796</v>
      </c>
      <c r="D4359">
        <v>1158</v>
      </c>
    </row>
    <row r="4360" spans="1:4" x14ac:dyDescent="0.25">
      <c r="A4360" t="str">
        <f>T("   290230")</f>
        <v xml:space="preserve">   290230</v>
      </c>
      <c r="B4360" t="str">
        <f>T("   Toluène")</f>
        <v xml:space="preserve">   Toluène</v>
      </c>
      <c r="C4360">
        <v>7925768</v>
      </c>
      <c r="D4360">
        <v>13939</v>
      </c>
    </row>
    <row r="4361" spans="1:4" x14ac:dyDescent="0.25">
      <c r="A4361" t="str">
        <f>T("   290312")</f>
        <v xml:space="preserve">   290312</v>
      </c>
      <c r="B4361" t="str">
        <f>T("   Dichlorométhane [chlorure de méthylène]")</f>
        <v xml:space="preserve">   Dichlorométhane [chlorure de méthylène]</v>
      </c>
      <c r="C4361">
        <v>5330600</v>
      </c>
      <c r="D4361">
        <v>10800</v>
      </c>
    </row>
    <row r="4362" spans="1:4" x14ac:dyDescent="0.25">
      <c r="A4362" t="str">
        <f>T("   290313")</f>
        <v xml:space="preserve">   290313</v>
      </c>
      <c r="B4362" t="str">
        <f>T("   Chloroforme [trichlorométhane]")</f>
        <v xml:space="preserve">   Chloroforme [trichlorométhane]</v>
      </c>
      <c r="C4362">
        <v>876691</v>
      </c>
      <c r="D4362">
        <v>105</v>
      </c>
    </row>
    <row r="4363" spans="1:4" x14ac:dyDescent="0.25">
      <c r="A4363" t="str">
        <f>T("   290512")</f>
        <v xml:space="preserve">   290512</v>
      </c>
      <c r="B4363" t="str">
        <f>T("   Propane-1-ol [alcool propylique] et propane-2-ol [alcool isopropylique]")</f>
        <v xml:space="preserve">   Propane-1-ol [alcool propylique] et propane-2-ol [alcool isopropylique]</v>
      </c>
      <c r="C4363">
        <v>4547338</v>
      </c>
      <c r="D4363">
        <v>2375</v>
      </c>
    </row>
    <row r="4364" spans="1:4" x14ac:dyDescent="0.25">
      <c r="A4364" t="str">
        <f>T("   290513")</f>
        <v xml:space="preserve">   290513</v>
      </c>
      <c r="B4364" t="str">
        <f>T("   Butane-1-ol [alcool n-butylique]")</f>
        <v xml:space="preserve">   Butane-1-ol [alcool n-butylique]</v>
      </c>
      <c r="C4364">
        <v>373898</v>
      </c>
      <c r="D4364">
        <v>300</v>
      </c>
    </row>
    <row r="4365" spans="1:4" x14ac:dyDescent="0.25">
      <c r="A4365" t="str">
        <f>T("   290519")</f>
        <v xml:space="preserve">   290519</v>
      </c>
      <c r="B4365" t="s">
        <v>67</v>
      </c>
      <c r="C4365">
        <v>279439</v>
      </c>
      <c r="D4365">
        <v>16</v>
      </c>
    </row>
    <row r="4366" spans="1:4" x14ac:dyDescent="0.25">
      <c r="A4366" t="str">
        <f>T("   290532")</f>
        <v xml:space="preserve">   290532</v>
      </c>
      <c r="B4366" t="str">
        <f>T("   Propylène glycol [propane-1,2-diol]")</f>
        <v xml:space="preserve">   Propylène glycol [propane-1,2-diol]</v>
      </c>
      <c r="C4366">
        <v>90815695</v>
      </c>
      <c r="D4366">
        <v>39068</v>
      </c>
    </row>
    <row r="4367" spans="1:4" x14ac:dyDescent="0.25">
      <c r="A4367" t="str">
        <f>T("   290545")</f>
        <v xml:space="preserve">   290545</v>
      </c>
      <c r="B4367" t="str">
        <f>T("   Glycérol")</f>
        <v xml:space="preserve">   Glycérol</v>
      </c>
      <c r="C4367">
        <v>101018</v>
      </c>
      <c r="D4367">
        <v>8</v>
      </c>
    </row>
    <row r="4368" spans="1:4" x14ac:dyDescent="0.25">
      <c r="A4368" t="str">
        <f>T("   290612")</f>
        <v xml:space="preserve">   290612</v>
      </c>
      <c r="B4368" t="str">
        <f>T("   Cyclohexanol, méthylcyclohexanols et diméthylcyclohexanols")</f>
        <v xml:space="preserve">   Cyclohexanol, méthylcyclohexanols et diméthylcyclohexanols</v>
      </c>
      <c r="C4368">
        <v>239426</v>
      </c>
      <c r="D4368">
        <v>47</v>
      </c>
    </row>
    <row r="4369" spans="1:4" x14ac:dyDescent="0.25">
      <c r="A4369" t="str">
        <f>T("   290890")</f>
        <v xml:space="preserve">   290890</v>
      </c>
      <c r="B4369" t="str">
        <f>T("   Dérivés halogénés, sulfonés, nitrés ou nitrosés des phénols ou des phénols-alcools (à l'excl. des dérivés seulement halogénés et leurs sels ainsi que des dérivés seulement sulfonés, leurs sels et leurs esters)")</f>
        <v xml:space="preserve">   Dérivés halogénés, sulfonés, nitrés ou nitrosés des phénols ou des phénols-alcools (à l'excl. des dérivés seulement halogénés et leurs sels ainsi que des dérivés seulement sulfonés, leurs sels et leurs esters)</v>
      </c>
      <c r="C4369">
        <v>42638</v>
      </c>
      <c r="D4369">
        <v>3</v>
      </c>
    </row>
    <row r="4370" spans="1:4" x14ac:dyDescent="0.25">
      <c r="A4370" t="str">
        <f>T("   290911")</f>
        <v xml:space="preserve">   290911</v>
      </c>
      <c r="B4370" t="str">
        <f>T("   Ether diéthylique [oxyde de diéthyle]")</f>
        <v xml:space="preserve">   Ether diéthylique [oxyde de diéthyle]</v>
      </c>
      <c r="C4370">
        <v>5623548</v>
      </c>
      <c r="D4370">
        <v>630</v>
      </c>
    </row>
    <row r="4371" spans="1:4" x14ac:dyDescent="0.25">
      <c r="A4371" t="str">
        <f>T("   290943")</f>
        <v xml:space="preserve">   290943</v>
      </c>
      <c r="B4371" t="str">
        <f>T("   Ethers monobutyliques de l'éthylène-glycol ou du diéthylène-glycol")</f>
        <v xml:space="preserve">   Ethers monobutyliques de l'éthylène-glycol ou du diéthylène-glycol</v>
      </c>
      <c r="C4371">
        <v>1642525</v>
      </c>
      <c r="D4371">
        <v>485</v>
      </c>
    </row>
    <row r="4372" spans="1:4" x14ac:dyDescent="0.25">
      <c r="A4372" t="str">
        <f>T("   290944")</f>
        <v xml:space="preserve">   290944</v>
      </c>
      <c r="B4372" t="str">
        <f>T("   Ethers monoalkyliques de l'éthylène-glycol ou du diéthylène-glycol (à l'excl. du 2,2'-oxydiéthanol [diéthylène-glycol] ainsi que des éthers monométhyliques ou monobutyliques)")</f>
        <v xml:space="preserve">   Ethers monoalkyliques de l'éthylène-glycol ou du diéthylène-glycol (à l'excl. du 2,2'-oxydiéthanol [diéthylène-glycol] ainsi que des éthers monométhyliques ou monobutyliques)</v>
      </c>
      <c r="C4372">
        <v>10797757</v>
      </c>
      <c r="D4372">
        <v>6308</v>
      </c>
    </row>
    <row r="4373" spans="1:4" x14ac:dyDescent="0.25">
      <c r="A4373" t="str">
        <f>T("   290960")</f>
        <v xml:space="preserve">   290960</v>
      </c>
      <c r="B4373" t="str">
        <f>T("   Peroxydes d'alcools, peroxydes d'éthers, peroxydes de cétones et leurs dérivés halogénés, sulfonés, nitrés ou nitrosés")</f>
        <v xml:space="preserve">   Peroxydes d'alcools, peroxydes d'éthers, peroxydes de cétones et leurs dérivés halogénés, sulfonés, nitrés ou nitrosés</v>
      </c>
      <c r="C4373">
        <v>405383</v>
      </c>
      <c r="D4373">
        <v>100</v>
      </c>
    </row>
    <row r="4374" spans="1:4" x14ac:dyDescent="0.25">
      <c r="A4374" t="str">
        <f>T("   291411")</f>
        <v xml:space="preserve">   291411</v>
      </c>
      <c r="B4374" t="str">
        <f>T("   Acétone")</f>
        <v xml:space="preserve">   Acétone</v>
      </c>
      <c r="C4374">
        <v>10048481</v>
      </c>
      <c r="D4374">
        <v>14161</v>
      </c>
    </row>
    <row r="4375" spans="1:4" x14ac:dyDescent="0.25">
      <c r="A4375" t="str">
        <f>T("   291412")</f>
        <v xml:space="preserve">   291412</v>
      </c>
      <c r="B4375" t="str">
        <f>T("   Butanone [méthyléthylcétone]")</f>
        <v xml:space="preserve">   Butanone [méthyléthylcétone]</v>
      </c>
      <c r="C4375">
        <v>8366114</v>
      </c>
      <c r="D4375">
        <v>6600</v>
      </c>
    </row>
    <row r="4376" spans="1:4" x14ac:dyDescent="0.25">
      <c r="A4376" t="str">
        <f>T("   291440")</f>
        <v xml:space="preserve">   291440</v>
      </c>
      <c r="B4376" t="str">
        <f>T("   Cétones-alcools et cétones-aldéhydes")</f>
        <v xml:space="preserve">   Cétones-alcools et cétones-aldéhydes</v>
      </c>
      <c r="C4376">
        <v>3470028</v>
      </c>
      <c r="D4376">
        <v>2850</v>
      </c>
    </row>
    <row r="4377" spans="1:4" x14ac:dyDescent="0.25">
      <c r="A4377" t="str">
        <f>T("   291511")</f>
        <v xml:space="preserve">   291511</v>
      </c>
      <c r="B4377" t="str">
        <f>T("   Acide formique")</f>
        <v xml:space="preserve">   Acide formique</v>
      </c>
      <c r="C4377">
        <v>1607004</v>
      </c>
      <c r="D4377">
        <v>178</v>
      </c>
    </row>
    <row r="4378" spans="1:4" x14ac:dyDescent="0.25">
      <c r="A4378" t="str">
        <f>T("   291521")</f>
        <v xml:space="preserve">   291521</v>
      </c>
      <c r="B4378" t="str">
        <f>T("   Acide acétique")</f>
        <v xml:space="preserve">   Acide acétique</v>
      </c>
      <c r="C4378">
        <v>292558</v>
      </c>
      <c r="D4378">
        <v>24</v>
      </c>
    </row>
    <row r="4379" spans="1:4" x14ac:dyDescent="0.25">
      <c r="A4379" t="str">
        <f>T("   291533")</f>
        <v xml:space="preserve">   291533</v>
      </c>
      <c r="B4379" t="str">
        <f>T("   Acétate de n-butyle")</f>
        <v xml:space="preserve">   Acétate de n-butyle</v>
      </c>
      <c r="C4379">
        <v>925559</v>
      </c>
      <c r="D4379">
        <v>760</v>
      </c>
    </row>
    <row r="4380" spans="1:4" x14ac:dyDescent="0.25">
      <c r="A4380" t="str">
        <f>T("   291539")</f>
        <v xml:space="preserve">   291539</v>
      </c>
      <c r="B4380" t="str">
        <f>T("   Esters de l'acide acétique (à l'excl. des acétates d'éthyle, de vinyle, de n-butyle, d'isobutyle et de 2-éthoxyéthyle)")</f>
        <v xml:space="preserve">   Esters de l'acide acétique (à l'excl. des acétates d'éthyle, de vinyle, de n-butyle, d'isobutyle et de 2-éthoxyéthyle)</v>
      </c>
      <c r="C4380">
        <v>4368320</v>
      </c>
      <c r="D4380">
        <v>1973</v>
      </c>
    </row>
    <row r="4381" spans="1:4" x14ac:dyDescent="0.25">
      <c r="A4381" t="str">
        <f>T("   291590")</f>
        <v xml:space="preserve">   291590</v>
      </c>
      <c r="B4381" t="s">
        <v>68</v>
      </c>
      <c r="C4381">
        <v>3344465</v>
      </c>
      <c r="D4381">
        <v>600</v>
      </c>
    </row>
    <row r="4382" spans="1:4" x14ac:dyDescent="0.25">
      <c r="A4382" t="str">
        <f>T("   291615")</f>
        <v xml:space="preserve">   291615</v>
      </c>
      <c r="B4382" t="str">
        <f>T("   Acides oléique, linoléique ou linolénique, leurs sels et leurs esters")</f>
        <v xml:space="preserve">   Acides oléique, linoléique ou linolénique, leurs sels et leurs esters</v>
      </c>
      <c r="C4382">
        <v>1386700</v>
      </c>
      <c r="D4382">
        <v>760</v>
      </c>
    </row>
    <row r="4383" spans="1:4" x14ac:dyDescent="0.25">
      <c r="A4383" t="str">
        <f>T("   291631")</f>
        <v xml:space="preserve">   291631</v>
      </c>
      <c r="B4383" t="str">
        <f>T("   Acide benzoïque, ses sels et ses esters")</f>
        <v xml:space="preserve">   Acide benzoïque, ses sels et ses esters</v>
      </c>
      <c r="C4383">
        <v>2531455</v>
      </c>
      <c r="D4383">
        <v>894.95</v>
      </c>
    </row>
    <row r="4384" spans="1:4" x14ac:dyDescent="0.25">
      <c r="A4384" t="str">
        <f>T("   291711")</f>
        <v xml:space="preserve">   291711</v>
      </c>
      <c r="B4384" t="str">
        <f>T("   Acide oxalique, ses sels et ses esters")</f>
        <v xml:space="preserve">   Acide oxalique, ses sels et ses esters</v>
      </c>
      <c r="C4384">
        <v>423750</v>
      </c>
      <c r="D4384">
        <v>7</v>
      </c>
    </row>
    <row r="4385" spans="1:4" x14ac:dyDescent="0.25">
      <c r="A4385" t="str">
        <f>T("   291731")</f>
        <v xml:space="preserve">   291731</v>
      </c>
      <c r="B4385" t="str">
        <f>T("   Orthophtalates de dibutyle")</f>
        <v xml:space="preserve">   Orthophtalates de dibutyle</v>
      </c>
      <c r="C4385">
        <v>812078</v>
      </c>
      <c r="D4385">
        <v>440</v>
      </c>
    </row>
    <row r="4386" spans="1:4" x14ac:dyDescent="0.25">
      <c r="A4386" t="str">
        <f>T("   291732")</f>
        <v xml:space="preserve">   291732</v>
      </c>
      <c r="B4386" t="str">
        <f>T("   Orthophtalates de dioctyle")</f>
        <v xml:space="preserve">   Orthophtalates de dioctyle</v>
      </c>
      <c r="C4386">
        <v>531984</v>
      </c>
      <c r="D4386">
        <v>400</v>
      </c>
    </row>
    <row r="4387" spans="1:4" x14ac:dyDescent="0.25">
      <c r="A4387" t="str">
        <f>T("   291811")</f>
        <v xml:space="preserve">   291811</v>
      </c>
      <c r="B4387" t="str">
        <f>T("   Acide lactique, ses sels et ses esters")</f>
        <v xml:space="preserve">   Acide lactique, ses sels et ses esters</v>
      </c>
      <c r="C4387">
        <v>171206</v>
      </c>
      <c r="D4387">
        <v>20</v>
      </c>
    </row>
    <row r="4388" spans="1:4" x14ac:dyDescent="0.25">
      <c r="A4388" t="str">
        <f>T("   291814")</f>
        <v xml:space="preserve">   291814</v>
      </c>
      <c r="B4388" t="str">
        <f>T("   Acide citrique")</f>
        <v xml:space="preserve">   Acide citrique</v>
      </c>
      <c r="C4388">
        <v>35136701</v>
      </c>
      <c r="D4388">
        <v>29510</v>
      </c>
    </row>
    <row r="4389" spans="1:4" x14ac:dyDescent="0.25">
      <c r="A4389" t="str">
        <f>T("   291821")</f>
        <v xml:space="preserve">   291821</v>
      </c>
      <c r="B4389" t="str">
        <f>T("   Acide salicylique et ses sels")</f>
        <v xml:space="preserve">   Acide salicylique et ses sels</v>
      </c>
      <c r="C4389">
        <v>424426</v>
      </c>
      <c r="D4389">
        <v>32</v>
      </c>
    </row>
    <row r="4390" spans="1:4" x14ac:dyDescent="0.25">
      <c r="A4390" t="str">
        <f>T("   291823")</f>
        <v xml:space="preserve">   291823</v>
      </c>
      <c r="B4390" t="str">
        <f>T("   Esters de l'acide salicylique et leurs sels (à l'excl. de l'acide o-acétylsalicylique, ses sels et ses esters)")</f>
        <v xml:space="preserve">   Esters de l'acide salicylique et leurs sels (à l'excl. de l'acide o-acétylsalicylique, ses sels et ses esters)</v>
      </c>
      <c r="C4390">
        <v>177700</v>
      </c>
      <c r="D4390">
        <v>13.4</v>
      </c>
    </row>
    <row r="4391" spans="1:4" x14ac:dyDescent="0.25">
      <c r="A4391" t="str">
        <f>T("   291890")</f>
        <v xml:space="preserve">   291890</v>
      </c>
      <c r="B4391" t="s">
        <v>71</v>
      </c>
      <c r="C4391">
        <v>315517</v>
      </c>
      <c r="D4391">
        <v>21</v>
      </c>
    </row>
    <row r="4392" spans="1:4" x14ac:dyDescent="0.25">
      <c r="A4392" t="str">
        <f>T("   292219")</f>
        <v xml:space="preserve">   292219</v>
      </c>
      <c r="B4392" t="str">
        <f>T("   Amino-alcools, leurs éthers et leurs esters; sels de ces produits (sauf ceux à fonctions oxygénées différentes et à l'excl. de la monoéthanolamine, de la diéthanolamine, de la triéthanolamine, du dextropropoxyphène ainsi que des sels de ces produits)")</f>
        <v xml:space="preserve">   Amino-alcools, leurs éthers et leurs esters; sels de ces produits (sauf ceux à fonctions oxygénées différentes et à l'excl. de la monoéthanolamine, de la diéthanolamine, de la triéthanolamine, du dextropropoxyphène ainsi que des sels de ces produits)</v>
      </c>
      <c r="C4392">
        <v>2678469</v>
      </c>
      <c r="D4392">
        <v>1480</v>
      </c>
    </row>
    <row r="4393" spans="1:4" x14ac:dyDescent="0.25">
      <c r="A4393" t="str">
        <f>T("   292320")</f>
        <v xml:space="preserve">   292320</v>
      </c>
      <c r="B4393" t="str">
        <f>T("   Lécithines et autres phosphoaminolipides, de constitution chimique définie ou non")</f>
        <v xml:space="preserve">   Lécithines et autres phosphoaminolipides, de constitution chimique définie ou non</v>
      </c>
      <c r="C4393">
        <v>3573973</v>
      </c>
      <c r="D4393">
        <v>1572</v>
      </c>
    </row>
    <row r="4394" spans="1:4" x14ac:dyDescent="0.25">
      <c r="A4394" t="str">
        <f>T("   292520")</f>
        <v xml:space="preserve">   292520</v>
      </c>
      <c r="B4394" t="str">
        <f>T("   Imines et leurs dérivés; sels de ces produits")</f>
        <v xml:space="preserve">   Imines et leurs dérivés; sels de ces produits</v>
      </c>
      <c r="C4394">
        <v>684166</v>
      </c>
      <c r="D4394">
        <v>229</v>
      </c>
    </row>
    <row r="4395" spans="1:4" x14ac:dyDescent="0.25">
      <c r="A4395" t="str">
        <f>T("   292910")</f>
        <v xml:space="preserve">   292910</v>
      </c>
      <c r="B4395" t="str">
        <f>T("   Isocyanates")</f>
        <v xml:space="preserve">   Isocyanates</v>
      </c>
      <c r="C4395">
        <v>363310925</v>
      </c>
      <c r="D4395">
        <v>256716</v>
      </c>
    </row>
    <row r="4396" spans="1:4" x14ac:dyDescent="0.25">
      <c r="A4396" t="str">
        <f>T("   293369")</f>
        <v xml:space="preserve">   293369</v>
      </c>
      <c r="B4396" t="str">
        <f>T("   COMPOSÉS HÉTÉROCYCLIQUES À HÉTÉROATOME[S] D'AZOTE EXCLUSIVEMENT, DONT LA STRUCTURE COMPORTE UN CYCLE TRIAZINE, HYDROGÉNÉ OU NON, NON-CONDENSÉ (À L'EXCL. DE LA MÉLAMINE)")</f>
        <v xml:space="preserve">   COMPOSÉS HÉTÉROCYCLIQUES À HÉTÉROATOME[S] D'AZOTE EXCLUSIVEMENT, DONT LA STRUCTURE COMPORTE UN CYCLE TRIAZINE, HYDROGÉNÉ OU NON, NON-CONDENSÉ (À L'EXCL. DE LA MÉLAMINE)</v>
      </c>
      <c r="C4396">
        <v>3860981</v>
      </c>
      <c r="D4396">
        <v>1357</v>
      </c>
    </row>
    <row r="4397" spans="1:4" x14ac:dyDescent="0.25">
      <c r="A4397" t="str">
        <f>T("   293399")</f>
        <v xml:space="preserve">   293399</v>
      </c>
      <c r="B4397" t="s">
        <v>73</v>
      </c>
      <c r="C4397">
        <v>80683</v>
      </c>
      <c r="D4397">
        <v>1</v>
      </c>
    </row>
    <row r="4398" spans="1:4" x14ac:dyDescent="0.25">
      <c r="A4398" t="str">
        <f>T("   293627")</f>
        <v xml:space="preserve">   293627</v>
      </c>
      <c r="B4398" t="str">
        <f>T("   Vitamine C et ses dérivés utilisés principalement en tant que vitamines")</f>
        <v xml:space="preserve">   Vitamine C et ses dérivés utilisés principalement en tant que vitamines</v>
      </c>
      <c r="C4398">
        <v>23403342</v>
      </c>
      <c r="D4398">
        <v>2363</v>
      </c>
    </row>
    <row r="4399" spans="1:4" x14ac:dyDescent="0.25">
      <c r="A4399" t="str">
        <f>T("   293629")</f>
        <v xml:space="preserve">   293629</v>
      </c>
      <c r="B4399" t="str">
        <f>T("   VITAMINES ET LEURS DÉRIVÉS UTILISÉS PRINCIPALEMENT EN TANT QUE VITAMINES, NON-MÉLANGÉS (À L'EXCL. DES VITAMINES A, B1, B2, B3, B5, B6, B12, C ET E AINSI QUE DES DÉRIVÉS DE CES VITAMINES)")</f>
        <v xml:space="preserve">   VITAMINES ET LEURS DÉRIVÉS UTILISÉS PRINCIPALEMENT EN TANT QUE VITAMINES, NON-MÉLANGÉS (À L'EXCL. DES VITAMINES A, B1, B2, B3, B5, B6, B12, C ET E AINSI QUE DES DÉRIVÉS DE CES VITAMINES)</v>
      </c>
      <c r="C4399">
        <v>1408346</v>
      </c>
      <c r="D4399">
        <v>300</v>
      </c>
    </row>
    <row r="4400" spans="1:4" x14ac:dyDescent="0.25">
      <c r="A4400" t="str">
        <f>T("   293690")</f>
        <v xml:space="preserve">   293690</v>
      </c>
      <c r="B4400" t="str">
        <f>T("   Mélanges de provitamines ou de vitamines, même en solutions quelconques, et concentrats naturels de vitamines")</f>
        <v xml:space="preserve">   Mélanges de provitamines ou de vitamines, même en solutions quelconques, et concentrats naturels de vitamines</v>
      </c>
      <c r="C4400">
        <v>4277102</v>
      </c>
      <c r="D4400">
        <v>1904</v>
      </c>
    </row>
    <row r="4401" spans="1:4" x14ac:dyDescent="0.25">
      <c r="A4401" t="str">
        <f>T("   294200")</f>
        <v xml:space="preserve">   294200</v>
      </c>
      <c r="B4401" t="str">
        <f>T("   Composés organiques de constitution chimique définie présentés isolément, n.d.a.")</f>
        <v xml:space="preserve">   Composés organiques de constitution chimique définie présentés isolément, n.d.a.</v>
      </c>
      <c r="C4401">
        <v>2447387</v>
      </c>
      <c r="D4401">
        <v>120</v>
      </c>
    </row>
    <row r="4402" spans="1:4" x14ac:dyDescent="0.25">
      <c r="A4402" t="str">
        <f>T("   300220")</f>
        <v xml:space="preserve">   300220</v>
      </c>
      <c r="B4402" t="str">
        <f>T("   Vaccins pour la médecine humaine")</f>
        <v xml:space="preserve">   Vaccins pour la médecine humaine</v>
      </c>
      <c r="C4402">
        <v>469007034</v>
      </c>
      <c r="D4402">
        <v>9072</v>
      </c>
    </row>
    <row r="4403" spans="1:4" x14ac:dyDescent="0.25">
      <c r="A4403" t="str">
        <f>T("   300339")</f>
        <v xml:space="preserve">   300339</v>
      </c>
      <c r="B4403" t="str">
        <f>T("   Médicaments contenant des hormones ou des stéroïdes utilisés comme hormones, mais ne contenant pas d'antibiotiques, non présentés sous forme de doses, ni conditionnés pour la vente au détail (à l'excl. des médicaments contenant de l'insuline)")</f>
        <v xml:space="preserve">   Médicaments contenant des hormones ou des stéroïdes utilisés comme hormones, mais ne contenant pas d'antibiotiques, non présentés sous forme de doses, ni conditionnés pour la vente au détail (à l'excl. des médicaments contenant de l'insuline)</v>
      </c>
      <c r="C4403">
        <v>390951</v>
      </c>
      <c r="D4403">
        <v>18</v>
      </c>
    </row>
    <row r="4404" spans="1:4" x14ac:dyDescent="0.25">
      <c r="A4404" t="str">
        <f>T("   300390")</f>
        <v xml:space="preserve">   300390</v>
      </c>
      <c r="B4404" t="s">
        <v>75</v>
      </c>
      <c r="C4404">
        <v>3239198</v>
      </c>
      <c r="D4404">
        <v>849</v>
      </c>
    </row>
    <row r="4405" spans="1:4" x14ac:dyDescent="0.25">
      <c r="A4405" t="str">
        <f>T("   300410")</f>
        <v xml:space="preserve">   300410</v>
      </c>
      <c r="B4405" t="s">
        <v>76</v>
      </c>
      <c r="C4405">
        <v>6766181310</v>
      </c>
      <c r="D4405">
        <v>620247</v>
      </c>
    </row>
    <row r="4406" spans="1:4" x14ac:dyDescent="0.25">
      <c r="A4406" t="str">
        <f>T("   300420")</f>
        <v xml:space="preserve">   300420</v>
      </c>
      <c r="B4406" t="s">
        <v>77</v>
      </c>
      <c r="C4406">
        <v>14575607</v>
      </c>
      <c r="D4406">
        <v>12565.5</v>
      </c>
    </row>
    <row r="4407" spans="1:4" x14ac:dyDescent="0.25">
      <c r="A4407" t="str">
        <f>T("   300439")</f>
        <v xml:space="preserve">   300439</v>
      </c>
      <c r="B4407" t="s">
        <v>78</v>
      </c>
      <c r="C4407">
        <v>2153514</v>
      </c>
      <c r="D4407">
        <v>392</v>
      </c>
    </row>
    <row r="4408" spans="1:4" x14ac:dyDescent="0.25">
      <c r="A4408" t="str">
        <f>T("   300450")</f>
        <v xml:space="preserve">   300450</v>
      </c>
      <c r="B4408" t="s">
        <v>79</v>
      </c>
      <c r="C4408">
        <v>21348133</v>
      </c>
      <c r="D4408">
        <v>27235</v>
      </c>
    </row>
    <row r="4409" spans="1:4" x14ac:dyDescent="0.25">
      <c r="A4409" t="str">
        <f>T("   300490")</f>
        <v xml:space="preserve">   300490</v>
      </c>
      <c r="B4409" t="s">
        <v>80</v>
      </c>
      <c r="C4409">
        <v>16999532380</v>
      </c>
      <c r="D4409">
        <v>1391780.27</v>
      </c>
    </row>
    <row r="4410" spans="1:4" x14ac:dyDescent="0.25">
      <c r="A4410" t="str">
        <f>T("   300510")</f>
        <v xml:space="preserve">   300510</v>
      </c>
      <c r="B4410" t="str">
        <f>T("   Pansements adhésifs et autres articles ayant une couche adhésive, imprégnés ou recouverts de substances pharmaceutiques ou conditionnés pour la vente au détail à des fins médicales, chirurgicales, dentaires ou vétérinaires")</f>
        <v xml:space="preserve">   Pansements adhésifs et autres articles ayant une couche adhésive, imprégnés ou recouverts de substances pharmaceutiques ou conditionnés pour la vente au détail à des fins médicales, chirurgicales, dentaires ou vétérinaires</v>
      </c>
      <c r="C4410">
        <v>218495080</v>
      </c>
      <c r="D4410">
        <v>41784</v>
      </c>
    </row>
    <row r="4411" spans="1:4" x14ac:dyDescent="0.25">
      <c r="A4411" t="str">
        <f>T("   300590")</f>
        <v xml:space="preserve">   300590</v>
      </c>
      <c r="B4411" t="s">
        <v>81</v>
      </c>
      <c r="C4411">
        <v>173319487</v>
      </c>
      <c r="D4411">
        <v>26481.8</v>
      </c>
    </row>
    <row r="4412" spans="1:4" x14ac:dyDescent="0.25">
      <c r="A4412" t="str">
        <f>T("   300610")</f>
        <v xml:space="preserve">   300610</v>
      </c>
      <c r="B4412" t="s">
        <v>82</v>
      </c>
      <c r="C4412">
        <v>57210601</v>
      </c>
      <c r="D4412">
        <v>232</v>
      </c>
    </row>
    <row r="4413" spans="1:4" x14ac:dyDescent="0.25">
      <c r="A4413" t="str">
        <f>T("   300620")</f>
        <v xml:space="preserve">   300620</v>
      </c>
      <c r="B4413" t="str">
        <f>T("   Réactifs destinés à la détermination des groupes ou des facteurs sanguins")</f>
        <v xml:space="preserve">   Réactifs destinés à la détermination des groupes ou des facteurs sanguins</v>
      </c>
      <c r="C4413">
        <v>34727519</v>
      </c>
      <c r="D4413">
        <v>889</v>
      </c>
    </row>
    <row r="4414" spans="1:4" x14ac:dyDescent="0.25">
      <c r="A4414" t="str">
        <f>T("   300630")</f>
        <v xml:space="preserve">   300630</v>
      </c>
      <c r="B4414" t="str">
        <f>T("   Préparations opacifiantes pour examens radiographiques; réactifs de diagnostic conçus pour être employés sur le patient")</f>
        <v xml:space="preserve">   Préparations opacifiantes pour examens radiographiques; réactifs de diagnostic conçus pour être employés sur le patient</v>
      </c>
      <c r="C4414">
        <v>10129859</v>
      </c>
      <c r="D4414">
        <v>202</v>
      </c>
    </row>
    <row r="4415" spans="1:4" x14ac:dyDescent="0.25">
      <c r="A4415" t="str">
        <f>T("   300640")</f>
        <v xml:space="preserve">   300640</v>
      </c>
      <c r="B4415" t="str">
        <f>T("   Ciments et autres produits d'obturation dentaire; ciments pour la réfection osseuse")</f>
        <v xml:space="preserve">   Ciments et autres produits d'obturation dentaire; ciments pour la réfection osseuse</v>
      </c>
      <c r="C4415">
        <v>670378</v>
      </c>
      <c r="D4415">
        <v>4</v>
      </c>
    </row>
    <row r="4416" spans="1:4" x14ac:dyDescent="0.25">
      <c r="A4416" t="str">
        <f>T("   300650")</f>
        <v xml:space="preserve">   300650</v>
      </c>
      <c r="B4416" t="str">
        <f>T("   Trousses et boîtes de pharmacie garnies, pour soins de première urgence")</f>
        <v xml:space="preserve">   Trousses et boîtes de pharmacie garnies, pour soins de première urgence</v>
      </c>
      <c r="C4416">
        <v>695147</v>
      </c>
      <c r="D4416">
        <v>35</v>
      </c>
    </row>
    <row r="4417" spans="1:4" x14ac:dyDescent="0.25">
      <c r="A4417" t="str">
        <f>T("   300670")</f>
        <v xml:space="preserve">   300670</v>
      </c>
      <c r="B4417" t="s">
        <v>83</v>
      </c>
      <c r="C4417">
        <v>7413660</v>
      </c>
      <c r="D4417">
        <v>637</v>
      </c>
    </row>
    <row r="4418" spans="1:4" x14ac:dyDescent="0.25">
      <c r="A4418" t="str">
        <f>T("   310230")</f>
        <v xml:space="preserve">   310230</v>
      </c>
      <c r="B4418" t="str">
        <f>T("   Nitrate d'ammonium, même en solution aqueuse (à l'excl. des produits présentés soit en tablettes ou formes simil., soit en emballages d'un poids brut &lt;= 10 kg)")</f>
        <v xml:space="preserve">   Nitrate d'ammonium, même en solution aqueuse (à l'excl. des produits présentés soit en tablettes ou formes simil., soit en emballages d'un poids brut &lt;= 10 kg)</v>
      </c>
      <c r="C4418">
        <v>30250251</v>
      </c>
      <c r="D4418">
        <v>75978</v>
      </c>
    </row>
    <row r="4419" spans="1:4" x14ac:dyDescent="0.25">
      <c r="A4419" t="str">
        <f>T("   310520")</f>
        <v xml:space="preserve">   310520</v>
      </c>
      <c r="B4419" t="str">
        <f>T("   Engrais minéraux ou chimiques contenant les trois éléments fertilisants : azote, phosphore et potassium (à l'excl. des produits présentés soit en tablettes ou formes simil., soit en emballages d'un poids brut &lt;= 10 kg)")</f>
        <v xml:space="preserve">   Engrais minéraux ou chimiques contenant les trois éléments fertilisants : azote, phosphore et potassium (à l'excl. des produits présentés soit en tablettes ou formes simil., soit en emballages d'un poids brut &lt;= 10 kg)</v>
      </c>
      <c r="C4419">
        <v>37821079</v>
      </c>
      <c r="D4419">
        <v>79200</v>
      </c>
    </row>
    <row r="4420" spans="1:4" x14ac:dyDescent="0.25">
      <c r="A4420" t="str">
        <f>T("   310590")</f>
        <v xml:space="preserve">   310590</v>
      </c>
      <c r="B4420" t="s">
        <v>85</v>
      </c>
      <c r="C4420">
        <v>1053472</v>
      </c>
      <c r="D4420">
        <v>282</v>
      </c>
    </row>
    <row r="4421" spans="1:4" x14ac:dyDescent="0.25">
      <c r="A4421" t="str">
        <f>T("   320290")</f>
        <v xml:space="preserve">   320290</v>
      </c>
      <c r="B4421" t="str">
        <f>T("   Produits tannants inorganiques; préparations tannantes, même contenant des produits tannants naturels; préparations enzymatiques pour le prétannage")</f>
        <v xml:space="preserve">   Produits tannants inorganiques; préparations tannantes, même contenant des produits tannants naturels; préparations enzymatiques pour le prétannage</v>
      </c>
      <c r="C4421">
        <v>14647587</v>
      </c>
      <c r="D4421">
        <v>306</v>
      </c>
    </row>
    <row r="4422" spans="1:4" x14ac:dyDescent="0.25">
      <c r="A4422" t="str">
        <f>T("   320300")</f>
        <v xml:space="preserve">   320300</v>
      </c>
      <c r="B4422" t="s">
        <v>86</v>
      </c>
      <c r="C4422">
        <v>3987365</v>
      </c>
      <c r="D4422">
        <v>1284</v>
      </c>
    </row>
    <row r="4423" spans="1:4" x14ac:dyDescent="0.25">
      <c r="A4423" t="str">
        <f>T("   320411")</f>
        <v xml:space="preserve">   320411</v>
      </c>
      <c r="B4423" t="s">
        <v>87</v>
      </c>
      <c r="C4423">
        <v>3925875</v>
      </c>
      <c r="D4423">
        <v>610</v>
      </c>
    </row>
    <row r="4424" spans="1:4" x14ac:dyDescent="0.25">
      <c r="A4424" t="str">
        <f>T("   320413")</f>
        <v xml:space="preserve">   320413</v>
      </c>
      <c r="B4424" t="s">
        <v>88</v>
      </c>
      <c r="C4424">
        <v>128969606</v>
      </c>
      <c r="D4424">
        <v>27237</v>
      </c>
    </row>
    <row r="4425" spans="1:4" x14ac:dyDescent="0.25">
      <c r="A4425" t="str">
        <f>T("   320416")</f>
        <v xml:space="preserve">   320416</v>
      </c>
      <c r="B4425" t="s">
        <v>89</v>
      </c>
      <c r="C4425">
        <v>999972</v>
      </c>
      <c r="D4425">
        <v>18</v>
      </c>
    </row>
    <row r="4426" spans="1:4" x14ac:dyDescent="0.25">
      <c r="A4426" t="str">
        <f>T("   320417")</f>
        <v xml:space="preserve">   320417</v>
      </c>
      <c r="B4426" t="s">
        <v>90</v>
      </c>
      <c r="C4426">
        <v>45434413</v>
      </c>
      <c r="D4426">
        <v>5755</v>
      </c>
    </row>
    <row r="4427" spans="1:4" x14ac:dyDescent="0.25">
      <c r="A4427" t="str">
        <f>T("   320419")</f>
        <v xml:space="preserve">   320419</v>
      </c>
      <c r="B4427" t="s">
        <v>91</v>
      </c>
      <c r="C4427">
        <v>35513018</v>
      </c>
      <c r="D4427">
        <v>16337</v>
      </c>
    </row>
    <row r="4428" spans="1:4" x14ac:dyDescent="0.25">
      <c r="A4428" t="str">
        <f>T("   320490")</f>
        <v xml:space="preserve">   320490</v>
      </c>
      <c r="B4428" t="str">
        <f>T("   Produits organiques synthétiques des types utilisés comme luminophores, même de constitution chimique définie")</f>
        <v xml:space="preserve">   Produits organiques synthétiques des types utilisés comme luminophores, même de constitution chimique définie</v>
      </c>
      <c r="C4428">
        <v>61841942</v>
      </c>
      <c r="D4428">
        <v>4753</v>
      </c>
    </row>
    <row r="4429" spans="1:4" x14ac:dyDescent="0.25">
      <c r="A4429" t="str">
        <f>T("   320611")</f>
        <v xml:space="preserve">   320611</v>
      </c>
      <c r="B4429" t="s">
        <v>93</v>
      </c>
      <c r="C4429">
        <v>155459837</v>
      </c>
      <c r="D4429">
        <v>144824</v>
      </c>
    </row>
    <row r="4430" spans="1:4" x14ac:dyDescent="0.25">
      <c r="A4430" t="str">
        <f>T("   320620")</f>
        <v xml:space="preserve">   320620</v>
      </c>
      <c r="B4430" t="s">
        <v>94</v>
      </c>
      <c r="C4430">
        <v>3942319</v>
      </c>
      <c r="D4430">
        <v>501</v>
      </c>
    </row>
    <row r="4431" spans="1:4" x14ac:dyDescent="0.25">
      <c r="A4431" t="str">
        <f>T("   320649")</f>
        <v xml:space="preserve">   320649</v>
      </c>
      <c r="B4431" t="s">
        <v>95</v>
      </c>
      <c r="C4431">
        <v>1611038</v>
      </c>
      <c r="D4431">
        <v>211</v>
      </c>
    </row>
    <row r="4432" spans="1:4" x14ac:dyDescent="0.25">
      <c r="A4432" t="str">
        <f>T("   320710")</f>
        <v xml:space="preserve">   320710</v>
      </c>
      <c r="B4432" t="str">
        <f>T("   Pigments, opacifiants et couleurs préparés et préparations simil., des types utilisés pour la céramique, l'émaillerie ou la verrerie")</f>
        <v xml:space="preserve">   Pigments, opacifiants et couleurs préparés et préparations simil., des types utilisés pour la céramique, l'émaillerie ou la verrerie</v>
      </c>
      <c r="C4432">
        <v>92490</v>
      </c>
      <c r="D4432">
        <v>58</v>
      </c>
    </row>
    <row r="4433" spans="1:4" x14ac:dyDescent="0.25">
      <c r="A4433" t="str">
        <f>T("   320810")</f>
        <v xml:space="preserve">   320810</v>
      </c>
      <c r="B4433" t="str">
        <f>T("   PEINTURES ET VERNIS À BASE DE POLYESTERS, DISPERSÉS OU DISSOUS DANS UN MILIEU NON-AQUEUX, ET PRODUITS À BASE DE POLYESTERS EN SOLUTION DANS DES SOLVANTS ORGANIQUES VOLATILS, POUR AUTANT QUE LA PROPORTION DU SOLVANT &gt; 50% DU POIDS DE LA SOLUTION")</f>
        <v xml:space="preserve">   PEINTURES ET VERNIS À BASE DE POLYESTERS, DISPERSÉS OU DISSOUS DANS UN MILIEU NON-AQUEUX, ET PRODUITS À BASE DE POLYESTERS EN SOLUTION DANS DES SOLVANTS ORGANIQUES VOLATILS, POUR AUTANT QUE LA PROPORTION DU SOLVANT &gt; 50% DU POIDS DE LA SOLUTION</v>
      </c>
      <c r="C4433">
        <v>5109272</v>
      </c>
      <c r="D4433">
        <v>2825</v>
      </c>
    </row>
    <row r="4434" spans="1:4" x14ac:dyDescent="0.25">
      <c r="A4434" t="str">
        <f>T("   320820")</f>
        <v xml:space="preserve">   320820</v>
      </c>
      <c r="B4434" t="s">
        <v>96</v>
      </c>
      <c r="C4434">
        <v>1279054</v>
      </c>
      <c r="D4434">
        <v>1374</v>
      </c>
    </row>
    <row r="4435" spans="1:4" x14ac:dyDescent="0.25">
      <c r="A4435" t="str">
        <f>T("   320890")</f>
        <v xml:space="preserve">   320890</v>
      </c>
      <c r="B4435" t="s">
        <v>97</v>
      </c>
      <c r="C4435">
        <v>11757434</v>
      </c>
      <c r="D4435">
        <v>2167</v>
      </c>
    </row>
    <row r="4436" spans="1:4" x14ac:dyDescent="0.25">
      <c r="A4436" t="str">
        <f>T("   320910")</f>
        <v xml:space="preserve">   320910</v>
      </c>
      <c r="B4436" t="str">
        <f>T("   Peintures et vernis à base de polymères acryliques ou vinyliques, dispersés ou dissous dans un milieu aqueux")</f>
        <v xml:space="preserve">   Peintures et vernis à base de polymères acryliques ou vinyliques, dispersés ou dissous dans un milieu aqueux</v>
      </c>
      <c r="C4436">
        <v>27166715</v>
      </c>
      <c r="D4436">
        <v>19930</v>
      </c>
    </row>
    <row r="4437" spans="1:4" x14ac:dyDescent="0.25">
      <c r="A4437" t="str">
        <f>T("   320990")</f>
        <v xml:space="preserve">   320990</v>
      </c>
      <c r="B4437" t="str">
        <f>T("   Peintures et vernis à base de polymères synthétiques ou de polymères naturels modifiés, dispersés ou dissous dans un milieu aqueux (à l'excl. des produits à base de polymères acryliques ou vinyliques)")</f>
        <v xml:space="preserve">   Peintures et vernis à base de polymères synthétiques ou de polymères naturels modifiés, dispersés ou dissous dans un milieu aqueux (à l'excl. des produits à base de polymères acryliques ou vinyliques)</v>
      </c>
      <c r="C4437">
        <v>13842070</v>
      </c>
      <c r="D4437">
        <v>3729</v>
      </c>
    </row>
    <row r="4438" spans="1:4" x14ac:dyDescent="0.25">
      <c r="A4438" t="str">
        <f>T("   321000")</f>
        <v xml:space="preserve">   321000</v>
      </c>
      <c r="B4438" t="str">
        <f>T("   Peintures et vernis (à l'excl. des produits à base de polymères synthétiques ou de polymères naturels modifiés); pigments à l'eau préparés des types utilisés pour le finissage des cuirs")</f>
        <v xml:space="preserve">   Peintures et vernis (à l'excl. des produits à base de polymères synthétiques ou de polymères naturels modifiés); pigments à l'eau préparés des types utilisés pour le finissage des cuirs</v>
      </c>
      <c r="C4438">
        <v>223682</v>
      </c>
      <c r="D4438">
        <v>42</v>
      </c>
    </row>
    <row r="4439" spans="1:4" x14ac:dyDescent="0.25">
      <c r="A4439" t="str">
        <f>T("   321100")</f>
        <v xml:space="preserve">   321100</v>
      </c>
      <c r="B4439" t="str">
        <f>T("   Siccatifs préparés")</f>
        <v xml:space="preserve">   Siccatifs préparés</v>
      </c>
      <c r="C4439">
        <v>3117121</v>
      </c>
      <c r="D4439">
        <v>1996</v>
      </c>
    </row>
    <row r="4440" spans="1:4" x14ac:dyDescent="0.25">
      <c r="A4440" t="str">
        <f>T("   321290")</f>
        <v xml:space="preserve">   321290</v>
      </c>
      <c r="B4440" t="s">
        <v>98</v>
      </c>
      <c r="C4440">
        <v>4313809</v>
      </c>
      <c r="D4440">
        <v>912</v>
      </c>
    </row>
    <row r="4441" spans="1:4" x14ac:dyDescent="0.25">
      <c r="A4441" t="str">
        <f>T("   321310")</f>
        <v xml:space="preserve">   321310</v>
      </c>
      <c r="B4441" t="str">
        <f>T("   Couleurs en assortiments pour la peinture artistique, l'enseignement, la peinture des enseignes, la modification des nuances, l'amusement et couleurs simil., en pastilles, tubes, pots, flacons, godets ou conditionnements simil.")</f>
        <v xml:space="preserve">   Couleurs en assortiments pour la peinture artistique, l'enseignement, la peinture des enseignes, la modification des nuances, l'amusement et couleurs simil., en pastilles, tubes, pots, flacons, godets ou conditionnements simil.</v>
      </c>
      <c r="C4441">
        <v>2215276</v>
      </c>
      <c r="D4441">
        <v>303</v>
      </c>
    </row>
    <row r="4442" spans="1:4" x14ac:dyDescent="0.25">
      <c r="A4442" t="str">
        <f>T("   321410")</f>
        <v xml:space="preserve">   321410</v>
      </c>
      <c r="B4442" t="str">
        <f>T("   Mastic de vitrier, ciments de résine et autres mastics; enduits utilisés en peinture")</f>
        <v xml:space="preserve">   Mastic de vitrier, ciments de résine et autres mastics; enduits utilisés en peinture</v>
      </c>
      <c r="C4442">
        <v>4865741</v>
      </c>
      <c r="D4442">
        <v>5421.48</v>
      </c>
    </row>
    <row r="4443" spans="1:4" x14ac:dyDescent="0.25">
      <c r="A4443" t="str">
        <f>T("   321490")</f>
        <v xml:space="preserve">   321490</v>
      </c>
      <c r="B4443" t="str">
        <f>T("   Enduits non réfractaires des types utilisés en maçonnerie")</f>
        <v xml:space="preserve">   Enduits non réfractaires des types utilisés en maçonnerie</v>
      </c>
      <c r="C4443">
        <v>8704094</v>
      </c>
      <c r="D4443">
        <v>3492</v>
      </c>
    </row>
    <row r="4444" spans="1:4" x14ac:dyDescent="0.25">
      <c r="A4444" t="str">
        <f>T("   321511")</f>
        <v xml:space="preserve">   321511</v>
      </c>
      <c r="B4444" t="str">
        <f>T("   Encres d'imprimerie, noires, même concentrées ou sous formes solides")</f>
        <v xml:space="preserve">   Encres d'imprimerie, noires, même concentrées ou sous formes solides</v>
      </c>
      <c r="C4444">
        <v>18315026</v>
      </c>
      <c r="D4444">
        <v>2450</v>
      </c>
    </row>
    <row r="4445" spans="1:4" x14ac:dyDescent="0.25">
      <c r="A4445" t="str">
        <f>T("   321519")</f>
        <v xml:space="preserve">   321519</v>
      </c>
      <c r="B4445" t="str">
        <f>T("   Encres d'imprimerie, même concentrées ou sous formes solides (à l'excl. des encres noires)")</f>
        <v xml:space="preserve">   Encres d'imprimerie, même concentrées ou sous formes solides (à l'excl. des encres noires)</v>
      </c>
      <c r="C4445">
        <v>53225967</v>
      </c>
      <c r="D4445">
        <v>19270.32</v>
      </c>
    </row>
    <row r="4446" spans="1:4" x14ac:dyDescent="0.25">
      <c r="A4446" t="str">
        <f>T("   321590")</f>
        <v xml:space="preserve">   321590</v>
      </c>
      <c r="B4446" t="str">
        <f>T("   Encres à écrire et à dessiner, même concentrées ou sous formes solides")</f>
        <v xml:space="preserve">   Encres à écrire et à dessiner, même concentrées ou sous formes solides</v>
      </c>
      <c r="C4446">
        <v>34285429</v>
      </c>
      <c r="D4446">
        <v>5049</v>
      </c>
    </row>
    <row r="4447" spans="1:4" x14ac:dyDescent="0.25">
      <c r="A4447" t="str">
        <f>T("   330111")</f>
        <v xml:space="preserve">   330111</v>
      </c>
      <c r="B4447" t="str">
        <f>T("   Huiles essentielles de bergamote, déterpénées ou non, y.c. celles dites 'concrètes' ou 'absolues'")</f>
        <v xml:space="preserve">   Huiles essentielles de bergamote, déterpénées ou non, y.c. celles dites 'concrètes' ou 'absolues'</v>
      </c>
      <c r="C4447">
        <v>186581</v>
      </c>
      <c r="D4447">
        <v>14.1</v>
      </c>
    </row>
    <row r="4448" spans="1:4" x14ac:dyDescent="0.25">
      <c r="A4448" t="str">
        <f>T("   330119")</f>
        <v xml:space="preserve">   330119</v>
      </c>
      <c r="B4448" t="str">
        <f>T("   HUILES ESSENTIELLES D'AGRUMES, DÉTERPÉNÉES OU NON, Y.C. CELLES DITES 'CONCRÈTES' OU 'ABSOLUES' (À L'EXCL. DES HUILES ESSENTIELLES D'ORANGE, DE CITRONOU DE LIME)")</f>
        <v xml:space="preserve">   HUILES ESSENTIELLES D'AGRUMES, DÉTERPÉNÉES OU NON, Y.C. CELLES DITES 'CONCRÈTES' OU 'ABSOLUES' (À L'EXCL. DES HUILES ESSENTIELLES D'ORANGE, DE CITRONOU DE LIME)</v>
      </c>
      <c r="C4448">
        <v>595000</v>
      </c>
      <c r="D4448">
        <v>484</v>
      </c>
    </row>
    <row r="4449" spans="1:4" x14ac:dyDescent="0.25">
      <c r="A4449" t="str">
        <f>T("   330124")</f>
        <v xml:space="preserve">   330124</v>
      </c>
      <c r="B4449" t="str">
        <f>T("   Huiles essentielles de menthe poivrée 'Mentha piperita', déterpénées ou non, y.c. celles dites 'concrètes' ou 'absolues'")</f>
        <v xml:space="preserve">   Huiles essentielles de menthe poivrée 'Mentha piperita', déterpénées ou non, y.c. celles dites 'concrètes' ou 'absolues'</v>
      </c>
      <c r="C4449">
        <v>567281</v>
      </c>
      <c r="D4449">
        <v>42.79</v>
      </c>
    </row>
    <row r="4450" spans="1:4" x14ac:dyDescent="0.25">
      <c r="A4450" t="str">
        <f>T("   330129")</f>
        <v xml:space="preserve">   330129</v>
      </c>
      <c r="B4450" t="str">
        <f>T("   HUILES ESSENTIELLES, DÉTERPÉNÉES OU NON, Y.C. CELLES DITES 'CONCRÈTES' OU 'ABSOLUES' (À L'EXCL. DES HUILES ESSENTIELLES D'AGRUMES OU DE MENTHES)")</f>
        <v xml:space="preserve">   HUILES ESSENTIELLES, DÉTERPÉNÉES OU NON, Y.C. CELLES DITES 'CONCRÈTES' OU 'ABSOLUES' (À L'EXCL. DES HUILES ESSENTIELLES D'AGRUMES OU DE MENTHES)</v>
      </c>
      <c r="C4450">
        <v>1349080</v>
      </c>
      <c r="D4450">
        <v>101.76</v>
      </c>
    </row>
    <row r="4451" spans="1:4" x14ac:dyDescent="0.25">
      <c r="A4451" t="str">
        <f>T("   330190")</f>
        <v xml:space="preserve">   330190</v>
      </c>
      <c r="B4451" t="s">
        <v>99</v>
      </c>
      <c r="C4451">
        <v>1861614</v>
      </c>
      <c r="D4451">
        <v>1051</v>
      </c>
    </row>
    <row r="4452" spans="1:4" x14ac:dyDescent="0.25">
      <c r="A4452" t="str">
        <f>T("   330210")</f>
        <v xml:space="preserve">   330210</v>
      </c>
      <c r="B4452" t="str">
        <f>T("   Mélanges de substances odoriférantes et mélanges, y.c. les solutions alcooliques, à base d'une ou de plusieurs de ces substances, des types utilisés comme matières de base pour les industries des produits alimentaires et des boissons")</f>
        <v xml:space="preserve">   Mélanges de substances odoriférantes et mélanges, y.c. les solutions alcooliques, à base d'une ou de plusieurs de ces substances, des types utilisés comme matières de base pour les industries des produits alimentaires et des boissons</v>
      </c>
      <c r="C4452">
        <v>25164804</v>
      </c>
      <c r="D4452">
        <v>15172</v>
      </c>
    </row>
    <row r="4453" spans="1:4" x14ac:dyDescent="0.25">
      <c r="A4453" t="str">
        <f>T("   330300")</f>
        <v xml:space="preserve">   330300</v>
      </c>
      <c r="B4453" t="str">
        <f>T("   Parfums et eaux de toilette (à l'excl. des préparations pour l'après-rasage [lotions after-shave] et des désodorisants corporels)")</f>
        <v xml:space="preserve">   Parfums et eaux de toilette (à l'excl. des préparations pour l'après-rasage [lotions after-shave] et des désodorisants corporels)</v>
      </c>
      <c r="C4453">
        <v>354935747</v>
      </c>
      <c r="D4453">
        <v>97859</v>
      </c>
    </row>
    <row r="4454" spans="1:4" x14ac:dyDescent="0.25">
      <c r="A4454" t="str">
        <f>T("   330410")</f>
        <v xml:space="preserve">   330410</v>
      </c>
      <c r="B4454" t="str">
        <f>T("   Produits de maquillage pour les lèvres")</f>
        <v xml:space="preserve">   Produits de maquillage pour les lèvres</v>
      </c>
      <c r="C4454">
        <v>11904630</v>
      </c>
      <c r="D4454">
        <v>3556</v>
      </c>
    </row>
    <row r="4455" spans="1:4" x14ac:dyDescent="0.25">
      <c r="A4455" t="str">
        <f>T("   330420")</f>
        <v xml:space="preserve">   330420</v>
      </c>
      <c r="B4455" t="str">
        <f>T("   Produits de maquillage pour les yeux")</f>
        <v xml:space="preserve">   Produits de maquillage pour les yeux</v>
      </c>
      <c r="C4455">
        <v>5661590</v>
      </c>
      <c r="D4455">
        <v>672</v>
      </c>
    </row>
    <row r="4456" spans="1:4" x14ac:dyDescent="0.25">
      <c r="A4456" t="str">
        <f>T("   330430")</f>
        <v xml:space="preserve">   330430</v>
      </c>
      <c r="B4456" t="str">
        <f>T("   Préparations pour manucures ou pédicures")</f>
        <v xml:space="preserve">   Préparations pour manucures ou pédicures</v>
      </c>
      <c r="C4456">
        <v>414757</v>
      </c>
      <c r="D4456">
        <v>104</v>
      </c>
    </row>
    <row r="4457" spans="1:4" x14ac:dyDescent="0.25">
      <c r="A4457" t="str">
        <f>T("   330491")</f>
        <v xml:space="preserve">   330491</v>
      </c>
      <c r="B4457" t="str">
        <f>T("   Poudres pour le maquillage ou l'entretien ou les soins de la peau, y.c. les poudres pour bébés et les poudres compactes (à l'excl. des médicaments)")</f>
        <v xml:space="preserve">   Poudres pour le maquillage ou l'entretien ou les soins de la peau, y.c. les poudres pour bébés et les poudres compactes (à l'excl. des médicaments)</v>
      </c>
      <c r="C4457">
        <v>3695680</v>
      </c>
      <c r="D4457">
        <v>492</v>
      </c>
    </row>
    <row r="4458" spans="1:4" x14ac:dyDescent="0.25">
      <c r="A4458" t="str">
        <f>T("   330499")</f>
        <v xml:space="preserve">   330499</v>
      </c>
      <c r="B4458" t="s">
        <v>101</v>
      </c>
      <c r="C4458">
        <v>430670084</v>
      </c>
      <c r="D4458">
        <v>122264</v>
      </c>
    </row>
    <row r="4459" spans="1:4" x14ac:dyDescent="0.25">
      <c r="A4459" t="str">
        <f>T("   330510")</f>
        <v xml:space="preserve">   330510</v>
      </c>
      <c r="B4459" t="str">
        <f>T("   Shampooings")</f>
        <v xml:space="preserve">   Shampooings</v>
      </c>
      <c r="C4459">
        <v>9512680</v>
      </c>
      <c r="D4459">
        <v>3615</v>
      </c>
    </row>
    <row r="4460" spans="1:4" x14ac:dyDescent="0.25">
      <c r="A4460" t="str">
        <f>T("   330530")</f>
        <v xml:space="preserve">   330530</v>
      </c>
      <c r="B4460" t="str">
        <f>T("   Laques pour cheveux")</f>
        <v xml:space="preserve">   Laques pour cheveux</v>
      </c>
      <c r="C4460">
        <v>1649083</v>
      </c>
      <c r="D4460">
        <v>1842</v>
      </c>
    </row>
    <row r="4461" spans="1:4" x14ac:dyDescent="0.25">
      <c r="A4461" t="str">
        <f>T("   330590")</f>
        <v xml:space="preserve">   330590</v>
      </c>
      <c r="B4461" t="str">
        <f>T("   PRÉPARATIONS CAPILLAIRES (À L'EXCL. DES SHAMPOOINGS, DES LAQUES POUR CHEVEUX ET DES PRÉPARATIONS POUR L'ONDULATION OU LE DÉFRISAGE PERMANENTS)")</f>
        <v xml:space="preserve">   PRÉPARATIONS CAPILLAIRES (À L'EXCL. DES SHAMPOOINGS, DES LAQUES POUR CHEVEUX ET DES PRÉPARATIONS POUR L'ONDULATION OU LE DÉFRISAGE PERMANENTS)</v>
      </c>
      <c r="C4461">
        <v>56121272</v>
      </c>
      <c r="D4461">
        <v>15841</v>
      </c>
    </row>
    <row r="4462" spans="1:4" x14ac:dyDescent="0.25">
      <c r="A4462" t="str">
        <f>T("   330610")</f>
        <v xml:space="preserve">   330610</v>
      </c>
      <c r="B4462" t="str">
        <f>T("   Dentifrices, préparés, même des types utilisés par les dentistes")</f>
        <v xml:space="preserve">   Dentifrices, préparés, même des types utilisés par les dentistes</v>
      </c>
      <c r="C4462">
        <v>341063039</v>
      </c>
      <c r="D4462">
        <v>70585</v>
      </c>
    </row>
    <row r="4463" spans="1:4" x14ac:dyDescent="0.25">
      <c r="A4463" t="str">
        <f>T("   330690")</f>
        <v xml:space="preserve">   330690</v>
      </c>
      <c r="B4463" t="str">
        <f>T("   Préparations pour l'hygiène buccale ou dentaire, y.c. les poudres et crèmes pour faciliter l'adhérence des dentiers (à l'excl. des dentifrices et des fils utilisés pour nettoyer les espaces interdentaires [fils dentaires])")</f>
        <v xml:space="preserve">   Préparations pour l'hygiène buccale ou dentaire, y.c. les poudres et crèmes pour faciliter l'adhérence des dentiers (à l'excl. des dentifrices et des fils utilisés pour nettoyer les espaces interdentaires [fils dentaires])</v>
      </c>
      <c r="C4463">
        <v>34355906</v>
      </c>
      <c r="D4463">
        <v>6014</v>
      </c>
    </row>
    <row r="4464" spans="1:4" x14ac:dyDescent="0.25">
      <c r="A4464" t="str">
        <f>T("   330710")</f>
        <v xml:space="preserve">   330710</v>
      </c>
      <c r="B4464" t="str">
        <f>T("   Préparations pour le prérasage, le rasage ou l'après-rasage")</f>
        <v xml:space="preserve">   Préparations pour le prérasage, le rasage ou l'après-rasage</v>
      </c>
      <c r="C4464">
        <v>3481837</v>
      </c>
      <c r="D4464">
        <v>2827</v>
      </c>
    </row>
    <row r="4465" spans="1:4" x14ac:dyDescent="0.25">
      <c r="A4465" t="str">
        <f>T("   330720")</f>
        <v xml:space="preserve">   330720</v>
      </c>
      <c r="B4465" t="str">
        <f>T("   Désodorisants corporels et antisudoraux, préparés")</f>
        <v xml:space="preserve">   Désodorisants corporels et antisudoraux, préparés</v>
      </c>
      <c r="C4465">
        <v>280271890</v>
      </c>
      <c r="D4465">
        <v>70149</v>
      </c>
    </row>
    <row r="4466" spans="1:4" x14ac:dyDescent="0.25">
      <c r="A4466" t="str">
        <f>T("   330730")</f>
        <v xml:space="preserve">   330730</v>
      </c>
      <c r="B4466" t="str">
        <f>T("   Sels parfumés et autres préparations pour bains")</f>
        <v xml:space="preserve">   Sels parfumés et autres préparations pour bains</v>
      </c>
      <c r="C4466">
        <v>2242072</v>
      </c>
      <c r="D4466">
        <v>1303</v>
      </c>
    </row>
    <row r="4467" spans="1:4" x14ac:dyDescent="0.25">
      <c r="A4467" t="str">
        <f>T("   330741")</f>
        <v xml:space="preserve">   330741</v>
      </c>
      <c r="B4467" t="str">
        <f>T("   'Agarbatti' et autres préparations odoriférantes agissant par combustion")</f>
        <v xml:space="preserve">   'Agarbatti' et autres préparations odoriférantes agissant par combustion</v>
      </c>
      <c r="C4467">
        <v>643497</v>
      </c>
      <c r="D4467">
        <v>101</v>
      </c>
    </row>
    <row r="4468" spans="1:4" x14ac:dyDescent="0.25">
      <c r="A4468" t="str">
        <f>T("   330749")</f>
        <v xml:space="preserve">   330749</v>
      </c>
      <c r="B4468" t="str">
        <f>T("   Préparations pour parfumer ou pour désodoriser les locaux, y.c. les préparations odoriférantes pour cérémonies religieuses (à l'excl. de l'agarbatti et des autres préparations odoriférantes agissant par combustion)")</f>
        <v xml:space="preserve">   Préparations pour parfumer ou pour désodoriser les locaux, y.c. les préparations odoriférantes pour cérémonies religieuses (à l'excl. de l'agarbatti et des autres préparations odoriférantes agissant par combustion)</v>
      </c>
      <c r="C4468">
        <v>57493102</v>
      </c>
      <c r="D4468">
        <v>33277</v>
      </c>
    </row>
    <row r="4469" spans="1:4" x14ac:dyDescent="0.25">
      <c r="A4469" t="str">
        <f>T("   330790")</f>
        <v xml:space="preserve">   330790</v>
      </c>
      <c r="B4469" t="str">
        <f>T("   Dépilatoires, autres produits de parfumerie ou de toilette préparés et autres préparations cosmétiques, n.d.a.")</f>
        <v xml:space="preserve">   Dépilatoires, autres produits de parfumerie ou de toilette préparés et autres préparations cosmétiques, n.d.a.</v>
      </c>
      <c r="C4469">
        <v>3649762</v>
      </c>
      <c r="D4469">
        <v>1523</v>
      </c>
    </row>
    <row r="4470" spans="1:4" x14ac:dyDescent="0.25">
      <c r="A4470" t="str">
        <f>T("   340111")</f>
        <v xml:space="preserve">   340111</v>
      </c>
      <c r="B4470" t="s">
        <v>102</v>
      </c>
      <c r="C4470">
        <v>194223381</v>
      </c>
      <c r="D4470">
        <v>96973</v>
      </c>
    </row>
    <row r="4471" spans="1:4" x14ac:dyDescent="0.25">
      <c r="A4471" t="str">
        <f>T("   340119")</f>
        <v xml:space="preserve">   340119</v>
      </c>
      <c r="B4471" t="s">
        <v>103</v>
      </c>
      <c r="C4471">
        <v>29259762</v>
      </c>
      <c r="D4471">
        <v>19990</v>
      </c>
    </row>
    <row r="4472" spans="1:4" x14ac:dyDescent="0.25">
      <c r="A4472" t="str">
        <f>T("   340120")</f>
        <v xml:space="preserve">   340120</v>
      </c>
      <c r="B4472" t="str">
        <f>T("   Savons en flocons, en paillettes, en granulés ou en poudres et savons liquides ou pâteux")</f>
        <v xml:space="preserve">   Savons en flocons, en paillettes, en granulés ou en poudres et savons liquides ou pâteux</v>
      </c>
      <c r="C4472">
        <v>21066241</v>
      </c>
      <c r="D4472">
        <v>12314</v>
      </c>
    </row>
    <row r="4473" spans="1:4" x14ac:dyDescent="0.25">
      <c r="A4473" t="str">
        <f>T("   340130")</f>
        <v xml:space="preserve">   340130</v>
      </c>
      <c r="B4473" t="str">
        <f>T("   Produits et préparations organiques tensio-actifs destinés au lavage de la peau, sous forme de liquide ou de crème, conditionnés pour la vente au détail, même contenant  du savon")</f>
        <v xml:space="preserve">   Produits et préparations organiques tensio-actifs destinés au lavage de la peau, sous forme de liquide ou de crème, conditionnés pour la vente au détail, même contenant  du savon</v>
      </c>
      <c r="C4473">
        <v>54761788</v>
      </c>
      <c r="D4473">
        <v>12928</v>
      </c>
    </row>
    <row r="4474" spans="1:4" x14ac:dyDescent="0.25">
      <c r="A4474" t="str">
        <f>T("   340212")</f>
        <v xml:space="preserve">   340212</v>
      </c>
      <c r="B4474" t="str">
        <f>T("   Agents de surface organiques, cationiques, même conditionnés pour la vente au détail (à l'excl. des savons)")</f>
        <v xml:space="preserve">   Agents de surface organiques, cationiques, même conditionnés pour la vente au détail (à l'excl. des savons)</v>
      </c>
      <c r="C4474">
        <v>74780</v>
      </c>
      <c r="D4474">
        <v>3</v>
      </c>
    </row>
    <row r="4475" spans="1:4" x14ac:dyDescent="0.25">
      <c r="A4475" t="str">
        <f>T("   340219")</f>
        <v xml:space="preserve">   340219</v>
      </c>
      <c r="B4475" t="str">
        <f>T("   Agents de surface organiques, même conditionnés pour la vente au détail (à l'excl. des savons et des agents de surface anioniques, cationiques ou non ioniques)")</f>
        <v xml:space="preserve">   Agents de surface organiques, même conditionnés pour la vente au détail (à l'excl. des savons et des agents de surface anioniques, cationiques ou non ioniques)</v>
      </c>
      <c r="C4475">
        <v>1759777</v>
      </c>
      <c r="D4475">
        <v>4873</v>
      </c>
    </row>
    <row r="4476" spans="1:4" x14ac:dyDescent="0.25">
      <c r="A4476" t="str">
        <f>T("   340220")</f>
        <v xml:space="preserve">   340220</v>
      </c>
      <c r="B4476" t="s">
        <v>104</v>
      </c>
      <c r="C4476">
        <v>259058947</v>
      </c>
      <c r="D4476">
        <v>330093.75</v>
      </c>
    </row>
    <row r="4477" spans="1:4" x14ac:dyDescent="0.25">
      <c r="A4477" t="str">
        <f>T("   340290")</f>
        <v xml:space="preserve">   340290</v>
      </c>
      <c r="B4477" t="s">
        <v>105</v>
      </c>
      <c r="C4477">
        <v>58753123</v>
      </c>
      <c r="D4477">
        <v>55098</v>
      </c>
    </row>
    <row r="4478" spans="1:4" x14ac:dyDescent="0.25">
      <c r="A4478" t="str">
        <f>T("   340319")</f>
        <v xml:space="preserve">   340319</v>
      </c>
      <c r="B4478" t="s">
        <v>106</v>
      </c>
      <c r="C4478">
        <v>2153765</v>
      </c>
      <c r="D4478">
        <v>295</v>
      </c>
    </row>
    <row r="4479" spans="1:4" x14ac:dyDescent="0.25">
      <c r="A4479" t="str">
        <f>T("   340399")</f>
        <v xml:space="preserve">   340399</v>
      </c>
      <c r="B4479" t="s">
        <v>107</v>
      </c>
      <c r="C4479">
        <v>201799382</v>
      </c>
      <c r="D4479">
        <v>153810</v>
      </c>
    </row>
    <row r="4480" spans="1:4" x14ac:dyDescent="0.25">
      <c r="A4480" t="str">
        <f>T("   340490")</f>
        <v xml:space="preserve">   340490</v>
      </c>
      <c r="B4480" t="s">
        <v>108</v>
      </c>
      <c r="C4480">
        <v>2389663</v>
      </c>
      <c r="D4480">
        <v>414</v>
      </c>
    </row>
    <row r="4481" spans="1:4" x14ac:dyDescent="0.25">
      <c r="A4481" t="str">
        <f>T("   340510")</f>
        <v xml:space="preserve">   340510</v>
      </c>
      <c r="B4481" t="s">
        <v>109</v>
      </c>
      <c r="C4481">
        <v>16399657</v>
      </c>
      <c r="D4481">
        <v>6206</v>
      </c>
    </row>
    <row r="4482" spans="1:4" x14ac:dyDescent="0.25">
      <c r="A4482" t="str">
        <f>T("   340520")</f>
        <v xml:space="preserve">   340520</v>
      </c>
      <c r="B4482" t="s">
        <v>110</v>
      </c>
      <c r="C4482">
        <v>821918</v>
      </c>
      <c r="D4482">
        <v>352</v>
      </c>
    </row>
    <row r="4483" spans="1:4" x14ac:dyDescent="0.25">
      <c r="A4483" t="str">
        <f>T("   340530")</f>
        <v xml:space="preserve">   340530</v>
      </c>
      <c r="B4483" t="s">
        <v>111</v>
      </c>
      <c r="C4483">
        <v>6688169</v>
      </c>
      <c r="D4483">
        <v>2011</v>
      </c>
    </row>
    <row r="4484" spans="1:4" x14ac:dyDescent="0.25">
      <c r="A4484" t="str">
        <f>T("   340540")</f>
        <v xml:space="preserve">   340540</v>
      </c>
      <c r="B4484" t="str">
        <f>T("   Pâtes, poudres et autres préparations à récurer, même sous forme de papier, ouates, feutres, nontissés, matière plastique ou caoutchouc alvéolaires, imprégnés, enduits ou recouverts de ces préparations")</f>
        <v xml:space="preserve">   Pâtes, poudres et autres préparations à récurer, même sous forme de papier, ouates, feutres, nontissés, matière plastique ou caoutchouc alvéolaires, imprégnés, enduits ou recouverts de ces préparations</v>
      </c>
      <c r="C4484">
        <v>9596570</v>
      </c>
      <c r="D4484">
        <v>16186</v>
      </c>
    </row>
    <row r="4485" spans="1:4" x14ac:dyDescent="0.25">
      <c r="A4485" t="str">
        <f>T("   340590")</f>
        <v xml:space="preserve">   340590</v>
      </c>
      <c r="B4485" t="str">
        <f>T("   Brillants pour verre ou métaux, même sous forme de papier, ouates, feutres, nontissés, matière plastique ou caoutchouc alvéolaires, imprégnés, enduits ou recouverts de ces préparations")</f>
        <v xml:space="preserve">   Brillants pour verre ou métaux, même sous forme de papier, ouates, feutres, nontissés, matière plastique ou caoutchouc alvéolaires, imprégnés, enduits ou recouverts de ces préparations</v>
      </c>
      <c r="C4485">
        <v>2741257</v>
      </c>
      <c r="D4485">
        <v>2504</v>
      </c>
    </row>
    <row r="4486" spans="1:4" x14ac:dyDescent="0.25">
      <c r="A4486" t="str">
        <f>T("   340600")</f>
        <v xml:space="preserve">   340600</v>
      </c>
      <c r="B4486" t="str">
        <f>T("   Bougies, chandelles, cierges et articles simil.")</f>
        <v xml:space="preserve">   Bougies, chandelles, cierges et articles simil.</v>
      </c>
      <c r="C4486">
        <v>35705222</v>
      </c>
      <c r="D4486">
        <v>7227</v>
      </c>
    </row>
    <row r="4487" spans="1:4" x14ac:dyDescent="0.25">
      <c r="A4487" t="str">
        <f>T("   350110")</f>
        <v xml:space="preserve">   350110</v>
      </c>
      <c r="B4487" t="str">
        <f>T("   Caséines")</f>
        <v xml:space="preserve">   Caséines</v>
      </c>
      <c r="C4487">
        <v>20000</v>
      </c>
      <c r="D4487">
        <v>30</v>
      </c>
    </row>
    <row r="4488" spans="1:4" x14ac:dyDescent="0.25">
      <c r="A4488" t="str">
        <f>T("   350190")</f>
        <v xml:space="preserve">   350190</v>
      </c>
      <c r="B4488" t="str">
        <f>T("   Caséinates et autres dérivés des caséines; colles de caséine (à l'excl. des produits conditionnés pour la vente au détail comme colles et d'un poids net &lt;= 1 kg)")</f>
        <v xml:space="preserve">   Caséinates et autres dérivés des caséines; colles de caséine (à l'excl. des produits conditionnés pour la vente au détail comme colles et d'un poids net &lt;= 1 kg)</v>
      </c>
      <c r="C4488">
        <v>22443016</v>
      </c>
      <c r="D4488">
        <v>952</v>
      </c>
    </row>
    <row r="4489" spans="1:4" x14ac:dyDescent="0.25">
      <c r="A4489" t="str">
        <f>T("   350510")</f>
        <v xml:space="preserve">   350510</v>
      </c>
      <c r="B4489" t="str">
        <f>T("   DEXTRINE ET AUTRES AMIDONS ET FÉCULES MODIFIÉS [LES AMIDONS ET FÉCULES PRÉ-GÉLATINISÉS OU ESTÉRIFIÉS, P.EX.]")</f>
        <v xml:space="preserve">   DEXTRINE ET AUTRES AMIDONS ET FÉCULES MODIFIÉS [LES AMIDONS ET FÉCULES PRÉ-GÉLATINISÉS OU ESTÉRIFIÉS, P.EX.]</v>
      </c>
      <c r="C4489">
        <v>1173513</v>
      </c>
      <c r="D4489">
        <v>542</v>
      </c>
    </row>
    <row r="4490" spans="1:4" x14ac:dyDescent="0.25">
      <c r="A4490" t="str">
        <f>T("   350520")</f>
        <v xml:space="preserve">   350520</v>
      </c>
      <c r="B4490" t="str">
        <f>T("   Colles à base d'amidons ou de fécules, de dextrine ou d'autres amidons ou fécules modifiés (à l'excl. des produits conditionnés pour la vente au détail comme colles et d'un poids net &lt;= 1 kg)")</f>
        <v xml:space="preserve">   Colles à base d'amidons ou de fécules, de dextrine ou d'autres amidons ou fécules modifiés (à l'excl. des produits conditionnés pour la vente au détail comme colles et d'un poids net &lt;= 1 kg)</v>
      </c>
      <c r="C4490">
        <v>3732314</v>
      </c>
      <c r="D4490">
        <v>1165</v>
      </c>
    </row>
    <row r="4491" spans="1:4" x14ac:dyDescent="0.25">
      <c r="A4491" t="str">
        <f>T("   350610")</f>
        <v xml:space="preserve">   350610</v>
      </c>
      <c r="B4491" t="str">
        <f>T("   Produits de toute espèce à usage de colles ou d'adhésifs, conditionnés pour la vente au détail comme colles ou adhésifs, d'un poids net &lt;= 1 kg")</f>
        <v xml:space="preserve">   Produits de toute espèce à usage de colles ou d'adhésifs, conditionnés pour la vente au détail comme colles ou adhésifs, d'un poids net &lt;= 1 kg</v>
      </c>
      <c r="C4491">
        <v>6840336</v>
      </c>
      <c r="D4491">
        <v>1291</v>
      </c>
    </row>
    <row r="4492" spans="1:4" x14ac:dyDescent="0.25">
      <c r="A4492" t="str">
        <f>T("   350691")</f>
        <v xml:space="preserve">   350691</v>
      </c>
      <c r="B4492" t="str">
        <f>T("   Adhésifs à base de polymères du n° 3901 à 3913 ou de caoutchouc (à l'excl. des produits conditionnés pour la vente au détail comme colles ou adhésifs, d'un poids net &lt;= 1 kg)")</f>
        <v xml:space="preserve">   Adhésifs à base de polymères du n° 3901 à 3913 ou de caoutchouc (à l'excl. des produits conditionnés pour la vente au détail comme colles ou adhésifs, d'un poids net &lt;= 1 kg)</v>
      </c>
      <c r="C4492">
        <v>179909296</v>
      </c>
      <c r="D4492">
        <v>63925</v>
      </c>
    </row>
    <row r="4493" spans="1:4" x14ac:dyDescent="0.25">
      <c r="A4493" t="str">
        <f>T("   350699")</f>
        <v xml:space="preserve">   350699</v>
      </c>
      <c r="B4493" t="str">
        <f>T("   Colles et autres adhésifs préparés, n.d.a.")</f>
        <v xml:space="preserve">   Colles et autres adhésifs préparés, n.d.a.</v>
      </c>
      <c r="C4493">
        <v>58346654</v>
      </c>
      <c r="D4493">
        <v>41284</v>
      </c>
    </row>
    <row r="4494" spans="1:4" x14ac:dyDescent="0.25">
      <c r="A4494" t="str">
        <f>T("   350790")</f>
        <v xml:space="preserve">   350790</v>
      </c>
      <c r="B4494" t="str">
        <f>T("   Enzymes et enzymes préparées, n.d.a. (à l'excl. de la présure et de ses concentrats)")</f>
        <v xml:space="preserve">   Enzymes et enzymes préparées, n.d.a. (à l'excl. de la présure et de ses concentrats)</v>
      </c>
      <c r="C4494">
        <v>60956115</v>
      </c>
      <c r="D4494">
        <v>5115</v>
      </c>
    </row>
    <row r="4495" spans="1:4" x14ac:dyDescent="0.25">
      <c r="A4495" t="str">
        <f>T("   360200")</f>
        <v xml:space="preserve">   360200</v>
      </c>
      <c r="B4495" t="str">
        <f>T("   Explosifs préparés (à l'excl. des poudres propulsives)")</f>
        <v xml:space="preserve">   Explosifs préparés (à l'excl. des poudres propulsives)</v>
      </c>
      <c r="C4495">
        <v>72324699</v>
      </c>
      <c r="D4495">
        <v>82545</v>
      </c>
    </row>
    <row r="4496" spans="1:4" x14ac:dyDescent="0.25">
      <c r="A4496" t="str">
        <f>T("   360300")</f>
        <v xml:space="preserve">   360300</v>
      </c>
      <c r="B4496" t="str">
        <f>T("   Mèches de sûreté; cordeaux détonants; amorces et capsules fulminantes; allumeurs; détonateurs électriques (à l'excl. des fusées d'obus et des douilles, munies ou non de leurs amorces)")</f>
        <v xml:space="preserve">   Mèches de sûreté; cordeaux détonants; amorces et capsules fulminantes; allumeurs; détonateurs électriques (à l'excl. des fusées d'obus et des douilles, munies ou non de leurs amorces)</v>
      </c>
      <c r="C4496">
        <v>60030645</v>
      </c>
      <c r="D4496">
        <v>5492</v>
      </c>
    </row>
    <row r="4497" spans="1:4" x14ac:dyDescent="0.25">
      <c r="A4497" t="str">
        <f>T("   360500")</f>
        <v xml:space="preserve">   360500</v>
      </c>
      <c r="B4497" t="str">
        <f>T("   Allumettes (autres que les articles de pyrotechnie du n° 3604)")</f>
        <v xml:space="preserve">   Allumettes (autres que les articles de pyrotechnie du n° 3604)</v>
      </c>
      <c r="C4497">
        <v>121064</v>
      </c>
      <c r="D4497">
        <v>13</v>
      </c>
    </row>
    <row r="4498" spans="1:4" x14ac:dyDescent="0.25">
      <c r="A4498" t="str">
        <f>T("   370191")</f>
        <v xml:space="preserve">   370191</v>
      </c>
      <c r="B4498" t="s">
        <v>113</v>
      </c>
      <c r="C4498">
        <v>4806875</v>
      </c>
      <c r="D4498">
        <v>1415</v>
      </c>
    </row>
    <row r="4499" spans="1:4" x14ac:dyDescent="0.25">
      <c r="A4499" t="str">
        <f>T("   370199")</f>
        <v xml:space="preserve">   370199</v>
      </c>
      <c r="B4499" t="s">
        <v>114</v>
      </c>
      <c r="C4499">
        <v>11134282</v>
      </c>
      <c r="D4499">
        <v>23006</v>
      </c>
    </row>
    <row r="4500" spans="1:4" x14ac:dyDescent="0.25">
      <c r="A4500" t="str">
        <f>T("   370239")</f>
        <v xml:space="preserve">   370239</v>
      </c>
      <c r="B4500" t="s">
        <v>116</v>
      </c>
      <c r="C4500">
        <v>110730</v>
      </c>
      <c r="D4500">
        <v>36</v>
      </c>
    </row>
    <row r="4501" spans="1:4" x14ac:dyDescent="0.25">
      <c r="A4501" t="str">
        <f>T("   370320")</f>
        <v xml:space="preserve">   370320</v>
      </c>
      <c r="B4501" t="str">
        <f>T("   PAPIERS, CARTONS ET TEXTILES, PHOTOGRAPHIQUES, SENSIBILISÉS, NON-IMPRESSIONNÉS, POUR LA PHOTOGRAPHIE EN COULEURS [POLYCHROME] (À L'EXCL. DES PRODUITS EN ROULEAUX D'UNE LARGEUR &gt; 610 MM)")</f>
        <v xml:space="preserve">   PAPIERS, CARTONS ET TEXTILES, PHOTOGRAPHIQUES, SENSIBILISÉS, NON-IMPRESSIONNÉS, POUR LA PHOTOGRAPHIE EN COULEURS [POLYCHROME] (À L'EXCL. DES PRODUITS EN ROULEAUX D'UNE LARGEUR &gt; 610 MM)</v>
      </c>
      <c r="C4501">
        <v>158762</v>
      </c>
      <c r="D4501">
        <v>50</v>
      </c>
    </row>
    <row r="4502" spans="1:4" x14ac:dyDescent="0.25">
      <c r="A4502" t="str">
        <f>T("   370390")</f>
        <v xml:space="preserve">   370390</v>
      </c>
      <c r="B4502" t="str">
        <f>T("   PAPIERS, CARTONS ET TEXTILES, PHOTOGRAPHIQUES, SENSIBILISÉS, NON-IMPRESSIONNÉS, POUR LA PHOTOGRAPHIE EN MONOCHROME (À L'EXCL. DES PRODUITS EN ROULEAUX D'UNE LARGEUR &gt; 610 MM)")</f>
        <v xml:space="preserve">   PAPIERS, CARTONS ET TEXTILES, PHOTOGRAPHIQUES, SENSIBILISÉS, NON-IMPRESSIONNÉS, POUR LA PHOTOGRAPHIE EN MONOCHROME (À L'EXCL. DES PRODUITS EN ROULEAUX D'UNE LARGEUR &gt; 610 MM)</v>
      </c>
      <c r="C4502">
        <v>2898688</v>
      </c>
      <c r="D4502">
        <v>490</v>
      </c>
    </row>
    <row r="4503" spans="1:4" x14ac:dyDescent="0.25">
      <c r="A4503" t="str">
        <f>T("   370400")</f>
        <v xml:space="preserve">   370400</v>
      </c>
      <c r="B4503" t="str">
        <f>T("   PLAQUES, PELLICULES, FILMS, PAPIERS, CARTONS ET TEXTILES, PHOTOGRAPHIQUES, IMPRESSIONNÉS MAIS NON-DÉVELOPPÉS")</f>
        <v xml:space="preserve">   PLAQUES, PELLICULES, FILMS, PAPIERS, CARTONS ET TEXTILES, PHOTOGRAPHIQUES, IMPRESSIONNÉS MAIS NON-DÉVELOPPÉS</v>
      </c>
      <c r="C4503">
        <v>140000</v>
      </c>
      <c r="D4503">
        <v>75</v>
      </c>
    </row>
    <row r="4504" spans="1:4" x14ac:dyDescent="0.25">
      <c r="A4504" t="str">
        <f>T("   370590")</f>
        <v xml:space="preserve">   370590</v>
      </c>
      <c r="B4504" t="str">
        <f>T("   PLAQUES ET PELLICULES, PHOTOGRAPHIQUES, IMPRESSIONNÉES ET DÉVELOPPÉES (À L'EXCL. DES FILMS CINÉMATOGRAPHIQUES, DES PELLICULES POUR LA REPRODUCTION OFFSET AINSI QUE DES PRODUITS EN PAPIER, EN CARTON OU EN MATIÈRES TEXTILES)")</f>
        <v xml:space="preserve">   PLAQUES ET PELLICULES, PHOTOGRAPHIQUES, IMPRESSIONNÉES ET DÉVELOPPÉES (À L'EXCL. DES FILMS CINÉMATOGRAPHIQUES, DES PELLICULES POUR LA REPRODUCTION OFFSET AINSI QUE DES PRODUITS EN PAPIER, EN CARTON OU EN MATIÈRES TEXTILES)</v>
      </c>
      <c r="C4504">
        <v>10888864</v>
      </c>
      <c r="D4504">
        <v>3152</v>
      </c>
    </row>
    <row r="4505" spans="1:4" x14ac:dyDescent="0.25">
      <c r="A4505" t="str">
        <f>T("   370790")</f>
        <v xml:space="preserve">   370790</v>
      </c>
      <c r="B4505" t="s">
        <v>118</v>
      </c>
      <c r="C4505">
        <v>15754628</v>
      </c>
      <c r="D4505">
        <v>59142</v>
      </c>
    </row>
    <row r="4506" spans="1:4" x14ac:dyDescent="0.25">
      <c r="A4506" t="str">
        <f>T("   380210")</f>
        <v xml:space="preserve">   380210</v>
      </c>
      <c r="B4506" t="str">
        <f>T("   Charbons activés (à l'excl. des produits ayant le caractère de médicaments ou conditionnés pour la vente au détail en tant que désodorisants pour réfrigérateurs, automobiles, etc.)")</f>
        <v xml:space="preserve">   Charbons activés (à l'excl. des produits ayant le caractère de médicaments ou conditionnés pour la vente au détail en tant que désodorisants pour réfrigérateurs, automobiles, etc.)</v>
      </c>
      <c r="C4506">
        <v>7578962</v>
      </c>
      <c r="D4506">
        <v>3453</v>
      </c>
    </row>
    <row r="4507" spans="1:4" x14ac:dyDescent="0.25">
      <c r="A4507" t="str">
        <f>T("   380510")</f>
        <v xml:space="preserve">   380510</v>
      </c>
      <c r="B4507" t="str">
        <f>T("   Essences de térébenthine, de bois de pin ou de papeterie au sulfate")</f>
        <v xml:space="preserve">   Essences de térébenthine, de bois de pin ou de papeterie au sulfate</v>
      </c>
      <c r="C4507">
        <v>1324384</v>
      </c>
      <c r="D4507">
        <v>81</v>
      </c>
    </row>
    <row r="4508" spans="1:4" x14ac:dyDescent="0.25">
      <c r="A4508" t="str">
        <f>T("   380590")</f>
        <v xml:space="preserve">   380590</v>
      </c>
      <c r="B4508" t="s">
        <v>119</v>
      </c>
      <c r="C4508">
        <v>100000</v>
      </c>
      <c r="D4508">
        <v>200</v>
      </c>
    </row>
    <row r="4509" spans="1:4" x14ac:dyDescent="0.25">
      <c r="A4509" t="str">
        <f>T("   380810")</f>
        <v xml:space="preserve">   380810</v>
      </c>
      <c r="B4509" t="str">
        <f>T("   Insecticides présentés dans des formes ou emballages de vente au détail ou à l'état de préparations ou sous forme d'articles")</f>
        <v xml:space="preserve">   Insecticides présentés dans des formes ou emballages de vente au détail ou à l'état de préparations ou sous forme d'articles</v>
      </c>
      <c r="C4509">
        <v>62815770</v>
      </c>
      <c r="D4509">
        <v>20746</v>
      </c>
    </row>
    <row r="4510" spans="1:4" x14ac:dyDescent="0.25">
      <c r="A4510" t="str">
        <f>T("   380820")</f>
        <v xml:space="preserve">   380820</v>
      </c>
      <c r="B4510" t="str">
        <f>T("   Fongicides présentés dans des formes ou emballages de vente au détail ou à l'état de préparations ou sous forme d'articles")</f>
        <v xml:space="preserve">   Fongicides présentés dans des formes ou emballages de vente au détail ou à l'état de préparations ou sous forme d'articles</v>
      </c>
      <c r="C4510">
        <v>4540555</v>
      </c>
      <c r="D4510">
        <v>2474</v>
      </c>
    </row>
    <row r="4511" spans="1:4" x14ac:dyDescent="0.25">
      <c r="A4511" t="str">
        <f>T("   380840")</f>
        <v xml:space="preserve">   380840</v>
      </c>
      <c r="B4511" t="str">
        <f>T("   Désinfectants et produits simil., présentés dans des formes ou emballages de vente au détail ou à l'état de préparations ou sous forme d'articles")</f>
        <v xml:space="preserve">   Désinfectants et produits simil., présentés dans des formes ou emballages de vente au détail ou à l'état de préparations ou sous forme d'articles</v>
      </c>
      <c r="C4511">
        <v>94238152</v>
      </c>
      <c r="D4511">
        <v>120113</v>
      </c>
    </row>
    <row r="4512" spans="1:4" x14ac:dyDescent="0.25">
      <c r="A4512" t="str">
        <f>T("   380890")</f>
        <v xml:space="preserve">   380890</v>
      </c>
      <c r="B4512" t="str">
        <f>T("   Antirongeurs et autres produits phytosanitaires, présentés dans des formes ou emballages de vente au détail ou à l'état de préparations ou sous forme d'articles (à l'excl. des insecticides, des fongicides, des herbicides et des désinfectants)")</f>
        <v xml:space="preserve">   Antirongeurs et autres produits phytosanitaires, présentés dans des formes ou emballages de vente au détail ou à l'état de préparations ou sous forme d'articles (à l'excl. des insecticides, des fongicides, des herbicides et des désinfectants)</v>
      </c>
      <c r="C4512">
        <v>46591025</v>
      </c>
      <c r="D4512">
        <v>14525</v>
      </c>
    </row>
    <row r="4513" spans="1:4" x14ac:dyDescent="0.25">
      <c r="A4513" t="str">
        <f>T("   380910")</f>
        <v xml:space="preserve">   380910</v>
      </c>
      <c r="B4513" t="s">
        <v>120</v>
      </c>
      <c r="C4513">
        <v>7657677</v>
      </c>
      <c r="D4513">
        <v>2193</v>
      </c>
    </row>
    <row r="4514" spans="1:4" x14ac:dyDescent="0.25">
      <c r="A4514" t="str">
        <f>T("   380991")</f>
        <v xml:space="preserve">   380991</v>
      </c>
      <c r="B4514" t="s">
        <v>121</v>
      </c>
      <c r="C4514">
        <v>9878368</v>
      </c>
      <c r="D4514">
        <v>18126</v>
      </c>
    </row>
    <row r="4515" spans="1:4" x14ac:dyDescent="0.25">
      <c r="A4515" t="str">
        <f>T("   380992")</f>
        <v xml:space="preserve">   380992</v>
      </c>
      <c r="B4515" t="s">
        <v>122</v>
      </c>
      <c r="C4515">
        <v>7813796</v>
      </c>
      <c r="D4515">
        <v>2886</v>
      </c>
    </row>
    <row r="4516" spans="1:4" x14ac:dyDescent="0.25">
      <c r="A4516" t="str">
        <f>T("   381090")</f>
        <v xml:space="preserve">   381090</v>
      </c>
      <c r="B4516" t="s">
        <v>123</v>
      </c>
      <c r="C4516">
        <v>2638271</v>
      </c>
      <c r="D4516">
        <v>738</v>
      </c>
    </row>
    <row r="4517" spans="1:4" x14ac:dyDescent="0.25">
      <c r="A4517" t="str">
        <f>T("   381121")</f>
        <v xml:space="preserve">   381121</v>
      </c>
      <c r="B4517" t="str">
        <f>T("   Additifs préparés pour huiles lubrifiantes, contenant des huiles de pétrole ou de minéraux bitumineux")</f>
        <v xml:space="preserve">   Additifs préparés pour huiles lubrifiantes, contenant des huiles de pétrole ou de minéraux bitumineux</v>
      </c>
      <c r="C4517">
        <v>3379505</v>
      </c>
      <c r="D4517">
        <v>599</v>
      </c>
    </row>
    <row r="4518" spans="1:4" x14ac:dyDescent="0.25">
      <c r="A4518" t="str">
        <f>T("   381129")</f>
        <v xml:space="preserve">   381129</v>
      </c>
      <c r="B4518" t="str">
        <f>T("   Additifs préparés pour huiles lubrifiantes, ne contenant pas d'huiles de pétrole ou de minéraux bitumineux")</f>
        <v xml:space="preserve">   Additifs préparés pour huiles lubrifiantes, ne contenant pas d'huiles de pétrole ou de minéraux bitumineux</v>
      </c>
      <c r="C4518">
        <v>13544262</v>
      </c>
      <c r="D4518">
        <v>9264</v>
      </c>
    </row>
    <row r="4519" spans="1:4" x14ac:dyDescent="0.25">
      <c r="A4519" t="str">
        <f>T("   381190")</f>
        <v xml:space="preserve">   381190</v>
      </c>
      <c r="B4519" t="s">
        <v>124</v>
      </c>
      <c r="C4519">
        <v>16481651</v>
      </c>
      <c r="D4519">
        <v>8812</v>
      </c>
    </row>
    <row r="4520" spans="1:4" x14ac:dyDescent="0.25">
      <c r="A4520" t="str">
        <f>T("   381230")</f>
        <v xml:space="preserve">   381230</v>
      </c>
      <c r="B4520" t="str">
        <f>T("   Préparations antioxydantes et autres stabilisateurs composites pour caoutchouc ou matières plastiques")</f>
        <v xml:space="preserve">   Préparations antioxydantes et autres stabilisateurs composites pour caoutchouc ou matières plastiques</v>
      </c>
      <c r="C4520">
        <v>71758399</v>
      </c>
      <c r="D4520">
        <v>72590</v>
      </c>
    </row>
    <row r="4521" spans="1:4" x14ac:dyDescent="0.25">
      <c r="A4521" t="str">
        <f>T("   381300")</f>
        <v xml:space="preserve">   381300</v>
      </c>
      <c r="B4521" t="s">
        <v>125</v>
      </c>
      <c r="C4521">
        <v>6563536</v>
      </c>
      <c r="D4521">
        <v>9744</v>
      </c>
    </row>
    <row r="4522" spans="1:4" x14ac:dyDescent="0.25">
      <c r="A4522" t="str">
        <f>T("   381400")</f>
        <v xml:space="preserve">   381400</v>
      </c>
      <c r="B4522" t="str">
        <f>T("   Solvants et diluants organiques composites, n.d.a.; préparations conçues pour enlever les peintures ou les vernis (à l'excl. des dissolvants pour vernis à ongles)")</f>
        <v xml:space="preserve">   Solvants et diluants organiques composites, n.d.a.; préparations conçues pour enlever les peintures ou les vernis (à l'excl. des dissolvants pour vernis à ongles)</v>
      </c>
      <c r="C4522">
        <v>14697333</v>
      </c>
      <c r="D4522">
        <v>5589</v>
      </c>
    </row>
    <row r="4523" spans="1:4" x14ac:dyDescent="0.25">
      <c r="A4523" t="str">
        <f>T("   381590")</f>
        <v xml:space="preserve">   381590</v>
      </c>
      <c r="B4523" t="str">
        <f>T("   Initiateurs de réaction, accélérateurs de réaction et préparations catalytiques, n.d.a. (à l'excl. des accélérateurs de vulcanisation et des catalyseurs supportés)")</f>
        <v xml:space="preserve">   Initiateurs de réaction, accélérateurs de réaction et préparations catalytiques, n.d.a. (à l'excl. des accélérateurs de vulcanisation et des catalyseurs supportés)</v>
      </c>
      <c r="C4523">
        <v>175141</v>
      </c>
      <c r="D4523">
        <v>1</v>
      </c>
    </row>
    <row r="4524" spans="1:4" x14ac:dyDescent="0.25">
      <c r="A4524" t="str">
        <f>T("   381600")</f>
        <v xml:space="preserve">   381600</v>
      </c>
      <c r="B4524" t="str">
        <f>T("   Ciments, mortiers, bétons et compositions simil. réfractaires (à l'excl. des préparations à base de graphite ou d'autre carbone)")</f>
        <v xml:space="preserve">   Ciments, mortiers, bétons et compositions simil. réfractaires (à l'excl. des préparations à base de graphite ou d'autre carbone)</v>
      </c>
      <c r="C4524">
        <v>4871158</v>
      </c>
      <c r="D4524">
        <v>2457</v>
      </c>
    </row>
    <row r="4525" spans="1:4" x14ac:dyDescent="0.25">
      <c r="A4525" t="str">
        <f>T("   381900")</f>
        <v xml:space="preserve">   381900</v>
      </c>
      <c r="B4525" t="str">
        <f>T("   Liquides pour freins hydrauliques et autres liquides préparés pour transmissions hydrauliques, ne contenant ni huiles de pétrole ni huiles de minéraux bitumineux ou en contenant &lt; 70% en poids")</f>
        <v xml:space="preserve">   Liquides pour freins hydrauliques et autres liquides préparés pour transmissions hydrauliques, ne contenant ni huiles de pétrole ni huiles de minéraux bitumineux ou en contenant &lt; 70% en poids</v>
      </c>
      <c r="C4525">
        <v>214501</v>
      </c>
      <c r="D4525">
        <v>210</v>
      </c>
    </row>
    <row r="4526" spans="1:4" x14ac:dyDescent="0.25">
      <c r="A4526" t="str">
        <f>T("   382000")</f>
        <v xml:space="preserve">   382000</v>
      </c>
      <c r="B4526" t="str">
        <f>T("   Préparations antigel et liquides préparés pour dégivrage (à l'excl. des additifs préparés pour huiles minérales ou pour autres liquides utilisés aux mêmes fins que les huiles minérales)")</f>
        <v xml:space="preserve">   Préparations antigel et liquides préparés pour dégivrage (à l'excl. des additifs préparés pour huiles minérales ou pour autres liquides utilisés aux mêmes fins que les huiles minérales)</v>
      </c>
      <c r="C4526">
        <v>24281016</v>
      </c>
      <c r="D4526">
        <v>23913</v>
      </c>
    </row>
    <row r="4527" spans="1:4" x14ac:dyDescent="0.25">
      <c r="A4527" t="str">
        <f>T("   382100")</f>
        <v xml:space="preserve">   382100</v>
      </c>
      <c r="B4527" t="str">
        <f>T("   Milieux de culture préparés pour le développement des micro-organismes")</f>
        <v xml:space="preserve">   Milieux de culture préparés pour le développement des micro-organismes</v>
      </c>
      <c r="C4527">
        <v>26537520</v>
      </c>
      <c r="D4527">
        <v>3643</v>
      </c>
    </row>
    <row r="4528" spans="1:4" x14ac:dyDescent="0.25">
      <c r="A4528" t="str">
        <f>T("   382200")</f>
        <v xml:space="preserve">   382200</v>
      </c>
      <c r="B4528" t="s">
        <v>126</v>
      </c>
      <c r="C4528">
        <v>279199456</v>
      </c>
      <c r="D4528">
        <v>5708.75</v>
      </c>
    </row>
    <row r="4529" spans="1:4" x14ac:dyDescent="0.25">
      <c r="A4529" t="str">
        <f>T("   382420")</f>
        <v xml:space="preserve">   382420</v>
      </c>
      <c r="B4529" t="str">
        <f>T("   Acides naphténiques, leurs sels insolubles dans l'eau et leurs esters")</f>
        <v xml:space="preserve">   Acides naphténiques, leurs sels insolubles dans l'eau et leurs esters</v>
      </c>
      <c r="C4529">
        <v>436515</v>
      </c>
      <c r="D4529">
        <v>29</v>
      </c>
    </row>
    <row r="4530" spans="1:4" x14ac:dyDescent="0.25">
      <c r="A4530" t="str">
        <f>T("   382440")</f>
        <v xml:space="preserve">   382440</v>
      </c>
      <c r="B4530" t="str">
        <f>T("   Additifs préparés pour ciments, mortiers ou bétons")</f>
        <v xml:space="preserve">   Additifs préparés pour ciments, mortiers ou bétons</v>
      </c>
      <c r="C4530">
        <v>239296512</v>
      </c>
      <c r="D4530">
        <v>194557</v>
      </c>
    </row>
    <row r="4531" spans="1:4" x14ac:dyDescent="0.25">
      <c r="A4531" t="str">
        <f>T("   382450")</f>
        <v xml:space="preserve">   382450</v>
      </c>
      <c r="B4531" t="str">
        <f>T("   MORTIERS ET BÉTONS, NON-RÉFRACTAIRES")</f>
        <v xml:space="preserve">   MORTIERS ET BÉTONS, NON-RÉFRACTAIRES</v>
      </c>
      <c r="C4531">
        <v>3831508</v>
      </c>
      <c r="D4531">
        <v>18971</v>
      </c>
    </row>
    <row r="4532" spans="1:4" x14ac:dyDescent="0.25">
      <c r="A4532" t="str">
        <f>T("   382479")</f>
        <v xml:space="preserve">   382479</v>
      </c>
      <c r="B4532" t="str">
        <f>T("   Mélanges contenant des dérivés perhalogènes des hydrocarbures acycliques comportant au moins deux halogènes différents (sauf uniquement avec du fluor et du chlore)")</f>
        <v xml:space="preserve">   Mélanges contenant des dérivés perhalogènes des hydrocarbures acycliques comportant au moins deux halogènes différents (sauf uniquement avec du fluor et du chlore)</v>
      </c>
      <c r="C4532">
        <v>7940068</v>
      </c>
      <c r="D4532">
        <v>3924</v>
      </c>
    </row>
    <row r="4533" spans="1:4" x14ac:dyDescent="0.25">
      <c r="A4533" t="str">
        <f>T("   382490")</f>
        <v xml:space="preserve">   382490</v>
      </c>
      <c r="B4533" t="str">
        <f>T("   Produits chimiques et préparations des industries chimiques ou des industries connexes, y.c. celles consistant en mélanges de produits naturels, n.d.a.")</f>
        <v xml:space="preserve">   Produits chimiques et préparations des industries chimiques ou des industries connexes, y.c. celles consistant en mélanges de produits naturels, n.d.a.</v>
      </c>
      <c r="C4533">
        <v>160858195</v>
      </c>
      <c r="D4533">
        <v>57338</v>
      </c>
    </row>
    <row r="4534" spans="1:4" x14ac:dyDescent="0.25">
      <c r="A4534" t="str">
        <f>T("   382569")</f>
        <v xml:space="preserve">   382569</v>
      </c>
      <c r="B4534" t="s">
        <v>127</v>
      </c>
      <c r="C4534">
        <v>260416</v>
      </c>
      <c r="D4534">
        <v>90</v>
      </c>
    </row>
    <row r="4535" spans="1:4" x14ac:dyDescent="0.25">
      <c r="A4535" t="str">
        <f>T("   390110")</f>
        <v xml:space="preserve">   390110</v>
      </c>
      <c r="B4535" t="str">
        <f>T("   Polyéthylène d'une densité &lt; 0,94, sous formes primaires")</f>
        <v xml:space="preserve">   Polyéthylène d'une densité &lt; 0,94, sous formes primaires</v>
      </c>
      <c r="C4535">
        <v>365553493</v>
      </c>
      <c r="D4535">
        <v>469375</v>
      </c>
    </row>
    <row r="4536" spans="1:4" x14ac:dyDescent="0.25">
      <c r="A4536" t="str">
        <f>T("   390120")</f>
        <v xml:space="preserve">   390120</v>
      </c>
      <c r="B4536" t="str">
        <f>T("   Polyéthylène d'une densité &gt;= 0,94, sous formes primaires")</f>
        <v xml:space="preserve">   Polyéthylène d'une densité &gt;= 0,94, sous formes primaires</v>
      </c>
      <c r="C4536">
        <v>100087694</v>
      </c>
      <c r="D4536">
        <v>133181</v>
      </c>
    </row>
    <row r="4537" spans="1:4" x14ac:dyDescent="0.25">
      <c r="A4537" t="str">
        <f>T("   390190")</f>
        <v xml:space="preserve">   390190</v>
      </c>
      <c r="B4537" t="str">
        <f>T("   Polymères de l'éthylène, sous formes primaires (à l'excl. du polyéthylène ainsi que des copolymères d'éthylène et d'acétate de vinyle)")</f>
        <v xml:space="preserve">   Polymères de l'éthylène, sous formes primaires (à l'excl. du polyéthylène ainsi que des copolymères d'éthylène et d'acétate de vinyle)</v>
      </c>
      <c r="C4537">
        <v>361456262</v>
      </c>
      <c r="D4537">
        <v>721949</v>
      </c>
    </row>
    <row r="4538" spans="1:4" x14ac:dyDescent="0.25">
      <c r="A4538" t="str">
        <f>T("   390210")</f>
        <v xml:space="preserve">   390210</v>
      </c>
      <c r="B4538" t="str">
        <f>T("   Polypropylène, sous formes primaires")</f>
        <v xml:space="preserve">   Polypropylène, sous formes primaires</v>
      </c>
      <c r="C4538">
        <v>97525089</v>
      </c>
      <c r="D4538">
        <v>143567</v>
      </c>
    </row>
    <row r="4539" spans="1:4" x14ac:dyDescent="0.25">
      <c r="A4539" t="str">
        <f>T("   390230")</f>
        <v xml:space="preserve">   390230</v>
      </c>
      <c r="B4539" t="str">
        <f>T("   Copolymères de propylène, sous formes primaires")</f>
        <v xml:space="preserve">   Copolymères de propylène, sous formes primaires</v>
      </c>
      <c r="C4539">
        <v>30303305</v>
      </c>
      <c r="D4539">
        <v>42019</v>
      </c>
    </row>
    <row r="4540" spans="1:4" x14ac:dyDescent="0.25">
      <c r="A4540" t="str">
        <f>T("   390390")</f>
        <v xml:space="preserve">   390390</v>
      </c>
      <c r="B4540" t="str">
        <f>T("   Polymères du styrène, sous formes primaires (à l'excl. du polystyrène ainsi que des copolymères de styrène-acrylonitrile [SAN] ou d'acrylonitrile-butadiène-styrène [ABS])")</f>
        <v xml:space="preserve">   Polymères du styrène, sous formes primaires (à l'excl. du polystyrène ainsi que des copolymères de styrène-acrylonitrile [SAN] ou d'acrylonitrile-butadiène-styrène [ABS])</v>
      </c>
      <c r="C4540">
        <v>207769256</v>
      </c>
      <c r="D4540">
        <v>188307</v>
      </c>
    </row>
    <row r="4541" spans="1:4" x14ac:dyDescent="0.25">
      <c r="A4541" t="str">
        <f>T("   390410")</f>
        <v xml:space="preserve">   390410</v>
      </c>
      <c r="B4541" t="str">
        <f>T("   Poly[chlorure de vinyle], sous formes primaires, non mélangé à d'autres substances")</f>
        <v xml:space="preserve">   Poly[chlorure de vinyle], sous formes primaires, non mélangé à d'autres substances</v>
      </c>
      <c r="C4541">
        <v>399354350</v>
      </c>
      <c r="D4541">
        <v>800284</v>
      </c>
    </row>
    <row r="4542" spans="1:4" x14ac:dyDescent="0.25">
      <c r="A4542" t="str">
        <f>T("   390421")</f>
        <v xml:space="preserve">   390421</v>
      </c>
      <c r="B4542" t="str">
        <f>T("   Poly[chlorure de vinyle] sous formes primaires, non plastifié, mélangé à d'autres substances")</f>
        <v xml:space="preserve">   Poly[chlorure de vinyle] sous formes primaires, non plastifié, mélangé à d'autres substances</v>
      </c>
      <c r="C4542">
        <v>49698153</v>
      </c>
      <c r="D4542">
        <v>60000</v>
      </c>
    </row>
    <row r="4543" spans="1:4" x14ac:dyDescent="0.25">
      <c r="A4543" t="str">
        <f>T("   390440")</f>
        <v xml:space="preserve">   390440</v>
      </c>
      <c r="B4543" t="str">
        <f>T("   Copolymères du chlorure de vinyle, sous formes primaires (à l'excl. des copolymères du chlorure de vinyle et d'acétate de vinyle)")</f>
        <v xml:space="preserve">   Copolymères du chlorure de vinyle, sous formes primaires (à l'excl. des copolymères du chlorure de vinyle et d'acétate de vinyle)</v>
      </c>
      <c r="C4543">
        <v>146391250</v>
      </c>
      <c r="D4543">
        <v>340000</v>
      </c>
    </row>
    <row r="4544" spans="1:4" x14ac:dyDescent="0.25">
      <c r="A4544" t="str">
        <f>T("   390521")</f>
        <v xml:space="preserve">   390521</v>
      </c>
      <c r="B4544" t="str">
        <f>T("   Copolymères d'acétate de vinyle, en dispersion aqueuse")</f>
        <v xml:space="preserve">   Copolymères d'acétate de vinyle, en dispersion aqueuse</v>
      </c>
      <c r="C4544">
        <v>781097</v>
      </c>
      <c r="D4544">
        <v>264</v>
      </c>
    </row>
    <row r="4545" spans="1:4" x14ac:dyDescent="0.25">
      <c r="A4545" t="str">
        <f>T("   390529")</f>
        <v xml:space="preserve">   390529</v>
      </c>
      <c r="B4545" t="str">
        <f>T("   Copolymères d'acétate de vinyle, sous formes primaires (à l'excl. des produits en dispersion aqueuse)")</f>
        <v xml:space="preserve">   Copolymères d'acétate de vinyle, sous formes primaires (à l'excl. des produits en dispersion aqueuse)</v>
      </c>
      <c r="C4545">
        <v>4413745</v>
      </c>
      <c r="D4545">
        <v>4351</v>
      </c>
    </row>
    <row r="4546" spans="1:4" x14ac:dyDescent="0.25">
      <c r="A4546" t="str">
        <f>T("   390530")</f>
        <v xml:space="preserve">   390530</v>
      </c>
      <c r="B4546" t="str">
        <f>T("   Poly[alcool vinylique], même contenant des groupes acétate non hydrolysés, sous formes primaires")</f>
        <v xml:space="preserve">   Poly[alcool vinylique], même contenant des groupes acétate non hydrolysés, sous formes primaires</v>
      </c>
      <c r="C4546">
        <v>23661815</v>
      </c>
      <c r="D4546">
        <v>18180</v>
      </c>
    </row>
    <row r="4547" spans="1:4" x14ac:dyDescent="0.25">
      <c r="A4547" t="str">
        <f>T("   390599")</f>
        <v xml:space="preserve">   390599</v>
      </c>
      <c r="B4547" t="s">
        <v>129</v>
      </c>
      <c r="C4547">
        <v>2915086</v>
      </c>
      <c r="D4547">
        <v>224</v>
      </c>
    </row>
    <row r="4548" spans="1:4" x14ac:dyDescent="0.25">
      <c r="A4548" t="str">
        <f>T("   390690")</f>
        <v xml:space="preserve">   390690</v>
      </c>
      <c r="B4548" t="str">
        <f>T("   Polymères acryliques, sous formes primaires (à l'excl. du poly[méthacrylate de méthyle])")</f>
        <v xml:space="preserve">   Polymères acryliques, sous formes primaires (à l'excl. du poly[méthacrylate de méthyle])</v>
      </c>
      <c r="C4548">
        <v>33868561</v>
      </c>
      <c r="D4548">
        <v>24290</v>
      </c>
    </row>
    <row r="4549" spans="1:4" x14ac:dyDescent="0.25">
      <c r="A4549" t="str">
        <f>T("   390720")</f>
        <v xml:space="preserve">   390720</v>
      </c>
      <c r="B4549" t="str">
        <f>T("   Polyéthers, sous formes primaires (à l'excl. des polyacétals)")</f>
        <v xml:space="preserve">   Polyéthers, sous formes primaires (à l'excl. des polyacétals)</v>
      </c>
      <c r="C4549">
        <v>492814445</v>
      </c>
      <c r="D4549">
        <v>472449</v>
      </c>
    </row>
    <row r="4550" spans="1:4" x14ac:dyDescent="0.25">
      <c r="A4550" t="str">
        <f>T("   390730")</f>
        <v xml:space="preserve">   390730</v>
      </c>
      <c r="B4550" t="str">
        <f>T("   Résines époxydes, sous formes primaires")</f>
        <v xml:space="preserve">   Résines époxydes, sous formes primaires</v>
      </c>
      <c r="C4550">
        <v>69485409</v>
      </c>
      <c r="D4550">
        <v>24461</v>
      </c>
    </row>
    <row r="4551" spans="1:4" x14ac:dyDescent="0.25">
      <c r="A4551" t="str">
        <f>T("   390750")</f>
        <v xml:space="preserve">   390750</v>
      </c>
      <c r="B4551" t="str">
        <f>T("   Résines alkydes, sous formes primaires")</f>
        <v xml:space="preserve">   Résines alkydes, sous formes primaires</v>
      </c>
      <c r="C4551">
        <v>587740</v>
      </c>
      <c r="D4551">
        <v>16</v>
      </c>
    </row>
    <row r="4552" spans="1:4" x14ac:dyDescent="0.25">
      <c r="A4552" t="str">
        <f>T("   390791")</f>
        <v xml:space="preserve">   390791</v>
      </c>
      <c r="B4552" t="str">
        <f>T("   POLYESTERS ALLYLIQUES ET AUTRES POLYESTERS, NON-SATURÉS, SOUS FORMES PRIMAIRES (À L'EXCL. DES POLYCARBONATES, DES RÉSINES ALKYDES, DU POLY[ÉTHYLÈNE TÉRÉPHTALATE] ET DU POLY[ACIDE LACTIQUE])")</f>
        <v xml:space="preserve">   POLYESTERS ALLYLIQUES ET AUTRES POLYESTERS, NON-SATURÉS, SOUS FORMES PRIMAIRES (À L'EXCL. DES POLYCARBONATES, DES RÉSINES ALKYDES, DU POLY[ÉTHYLÈNE TÉRÉPHTALATE] ET DU POLY[ACIDE LACTIQUE])</v>
      </c>
      <c r="C4552">
        <v>3958719</v>
      </c>
      <c r="D4552">
        <v>2260</v>
      </c>
    </row>
    <row r="4553" spans="1:4" x14ac:dyDescent="0.25">
      <c r="A4553" t="str">
        <f>T("   390799")</f>
        <v xml:space="preserve">   390799</v>
      </c>
      <c r="B4553" t="str">
        <f>T("   POLYESTERS, SATURÉS, SOUS FORMES PRIMAIRES (À L'EXCL. DES POLYCARBONATES, DES RÉSINES ALKYDES ET DU POLY[ÉTHYLÈNE TÉRÉPHTALATE]) [01/01/1988-31/12/1993: POLYESTERS ALLYLIQUES ET AUTRES POLYESTERS, SATURÉS, SOUS FORMES PRIMAIRES]")</f>
        <v xml:space="preserve">   POLYESTERS, SATURÉS, SOUS FORMES PRIMAIRES (À L'EXCL. DES POLYCARBONATES, DES RÉSINES ALKYDES ET DU POLY[ÉTHYLÈNE TÉRÉPHTALATE]) [01/01/1988-31/12/1993: POLYESTERS ALLYLIQUES ET AUTRES POLYESTERS, SATURÉS, SOUS FORMES PRIMAIRES]</v>
      </c>
      <c r="C4553">
        <v>2122031</v>
      </c>
      <c r="D4553">
        <v>811</v>
      </c>
    </row>
    <row r="4554" spans="1:4" x14ac:dyDescent="0.25">
      <c r="A4554" t="str">
        <f>T("   390810")</f>
        <v xml:space="preserve">   390810</v>
      </c>
      <c r="B4554" t="str">
        <f>T("   Polyamide-6, -11, -12, -6,6, -6,9, -6,10 ou -6,12, sous formes primaires")</f>
        <v xml:space="preserve">   Polyamide-6, -11, -12, -6,6, -6,9, -6,10 ou -6,12, sous formes primaires</v>
      </c>
      <c r="C4554">
        <v>167926</v>
      </c>
      <c r="D4554">
        <v>2</v>
      </c>
    </row>
    <row r="4555" spans="1:4" x14ac:dyDescent="0.25">
      <c r="A4555" t="str">
        <f>T("   390930")</f>
        <v xml:space="preserve">   390930</v>
      </c>
      <c r="B4555" t="str">
        <f>T("   Résines aminiques, sous formes primaires (à l'excl. des résines de thiourée ainsi que des résines uréiques ou mélaminiques)")</f>
        <v xml:space="preserve">   Résines aminiques, sous formes primaires (à l'excl. des résines de thiourée ainsi que des résines uréiques ou mélaminiques)</v>
      </c>
      <c r="C4555">
        <v>25986459</v>
      </c>
      <c r="D4555">
        <v>6400</v>
      </c>
    </row>
    <row r="4556" spans="1:4" x14ac:dyDescent="0.25">
      <c r="A4556" t="str">
        <f>T("   390950")</f>
        <v xml:space="preserve">   390950</v>
      </c>
      <c r="B4556" t="str">
        <f>T("   Polyuréthannes, sous formes primaires")</f>
        <v xml:space="preserve">   Polyuréthannes, sous formes primaires</v>
      </c>
      <c r="C4556">
        <v>6333267</v>
      </c>
      <c r="D4556">
        <v>5540.8</v>
      </c>
    </row>
    <row r="4557" spans="1:4" x14ac:dyDescent="0.25">
      <c r="A4557" t="str">
        <f>T("   391000")</f>
        <v xml:space="preserve">   391000</v>
      </c>
      <c r="B4557" t="str">
        <f>T("   Silicones sous formes primaires")</f>
        <v xml:space="preserve">   Silicones sous formes primaires</v>
      </c>
      <c r="C4557">
        <v>25165074</v>
      </c>
      <c r="D4557">
        <v>6424</v>
      </c>
    </row>
    <row r="4558" spans="1:4" x14ac:dyDescent="0.25">
      <c r="A4558" t="str">
        <f>T("   391110")</f>
        <v xml:space="preserve">   391110</v>
      </c>
      <c r="B4558" t="str">
        <f>T("   Résines de pétrole, résines de coumarone, résines d'indène, résines de coumarone-indène et polyterpènes, sous formes primaires")</f>
        <v xml:space="preserve">   Résines de pétrole, résines de coumarone, résines d'indène, résines de coumarone-indène et polyterpènes, sous formes primaires</v>
      </c>
      <c r="C4558">
        <v>3664849</v>
      </c>
      <c r="D4558">
        <v>3352</v>
      </c>
    </row>
    <row r="4559" spans="1:4" x14ac:dyDescent="0.25">
      <c r="A4559" t="str">
        <f>T("   391190")</f>
        <v xml:space="preserve">   391190</v>
      </c>
      <c r="B4559" t="str">
        <f>T("   Polysulfures, polysulfones et autres polymères et prépolymères obtenus par voie de synthèse chimique [voir note 3 du présent chapitre], n.d.a., sous formes primaires")</f>
        <v xml:space="preserve">   Polysulfures, polysulfones et autres polymères et prépolymères obtenus par voie de synthèse chimique [voir note 3 du présent chapitre], n.d.a., sous formes primaires</v>
      </c>
      <c r="C4559">
        <v>896042</v>
      </c>
      <c r="D4559">
        <v>240</v>
      </c>
    </row>
    <row r="4560" spans="1:4" x14ac:dyDescent="0.25">
      <c r="A4560" t="str">
        <f>T("   391220")</f>
        <v xml:space="preserve">   391220</v>
      </c>
      <c r="B4560" t="str">
        <f>T("   Nitrates de cellulose, y.c. les collodions, sous formes primaires")</f>
        <v xml:space="preserve">   Nitrates de cellulose, y.c. les collodions, sous formes primaires</v>
      </c>
      <c r="C4560">
        <v>6537297</v>
      </c>
      <c r="D4560">
        <v>3480</v>
      </c>
    </row>
    <row r="4561" spans="1:4" x14ac:dyDescent="0.25">
      <c r="A4561" t="str">
        <f>T("   391239")</f>
        <v xml:space="preserve">   391239</v>
      </c>
      <c r="B4561" t="str">
        <f>T("   ÉTHERS DE CELLULOSE, SOUS FORMES PRIMAIRES (À L'EXCL. DE LA CARBOXYMÉTHYLCELLULOSE ET DE SES SELS)")</f>
        <v xml:space="preserve">   ÉTHERS DE CELLULOSE, SOUS FORMES PRIMAIRES (À L'EXCL. DE LA CARBOXYMÉTHYLCELLULOSE ET DE SES SELS)</v>
      </c>
      <c r="C4561">
        <v>28136092</v>
      </c>
      <c r="D4561">
        <v>33296</v>
      </c>
    </row>
    <row r="4562" spans="1:4" x14ac:dyDescent="0.25">
      <c r="A4562" t="str">
        <f>T("   391290")</f>
        <v xml:space="preserve">   391290</v>
      </c>
      <c r="B4562" t="str">
        <f>T("   Cellulose et ses dérivés chimiques, n.d.a., sous formes primaires (à l'excl. des acétates, nitrates et éthers de cellulose)")</f>
        <v xml:space="preserve">   Cellulose et ses dérivés chimiques, n.d.a., sous formes primaires (à l'excl. des acétates, nitrates et éthers de cellulose)</v>
      </c>
      <c r="C4562">
        <v>7643248</v>
      </c>
      <c r="D4562">
        <v>3090</v>
      </c>
    </row>
    <row r="4563" spans="1:4" x14ac:dyDescent="0.25">
      <c r="A4563" t="str">
        <f>T("   391390")</f>
        <v xml:space="preserve">   391390</v>
      </c>
      <c r="B4563" t="str">
        <f>T("   Polymères naturels et polymères naturels modifiés [protéines durcies, dérivés chimiques du caoutchouc naturel, par exemple], n.d.a., sous formes primaires (à l'excl. de l'acide alginique et de ses sels et esters)")</f>
        <v xml:space="preserve">   Polymères naturels et polymères naturels modifiés [protéines durcies, dérivés chimiques du caoutchouc naturel, par exemple], n.d.a., sous formes primaires (à l'excl. de l'acide alginique et de ses sels et esters)</v>
      </c>
      <c r="C4563">
        <v>3666160</v>
      </c>
      <c r="D4563">
        <v>902</v>
      </c>
    </row>
    <row r="4564" spans="1:4" x14ac:dyDescent="0.25">
      <c r="A4564" t="str">
        <f>T("   391400")</f>
        <v xml:space="preserve">   391400</v>
      </c>
      <c r="B4564" t="str">
        <f>T("   Echangeurs d'ions à base de polymères du n° 3901 à 3913, sous formes primaires")</f>
        <v xml:space="preserve">   Echangeurs d'ions à base de polymères du n° 3901 à 3913, sous formes primaires</v>
      </c>
      <c r="C4564">
        <v>5007600</v>
      </c>
      <c r="D4564">
        <v>1868</v>
      </c>
    </row>
    <row r="4565" spans="1:4" x14ac:dyDescent="0.25">
      <c r="A4565" t="str">
        <f>T("   391690")</f>
        <v xml:space="preserve">   391690</v>
      </c>
      <c r="B4565" t="s">
        <v>130</v>
      </c>
      <c r="C4565">
        <v>7179483</v>
      </c>
      <c r="D4565">
        <v>648</v>
      </c>
    </row>
    <row r="4566" spans="1:4" x14ac:dyDescent="0.25">
      <c r="A4566" t="str">
        <f>T("   391710")</f>
        <v xml:space="preserve">   391710</v>
      </c>
      <c r="B4566" t="str">
        <f>T("   Boyaux artificiels en protéines durcies ou en matières plastiques cellulosiques")</f>
        <v xml:space="preserve">   Boyaux artificiels en protéines durcies ou en matières plastiques cellulosiques</v>
      </c>
      <c r="C4566">
        <v>600000</v>
      </c>
      <c r="D4566">
        <v>400</v>
      </c>
    </row>
    <row r="4567" spans="1:4" x14ac:dyDescent="0.25">
      <c r="A4567" t="str">
        <f>T("   391721")</f>
        <v xml:space="preserve">   391721</v>
      </c>
      <c r="B4567" t="str">
        <f>T("   TUBES ET TUYAUX RIGIDES, EN POLYMÈRES DE L'ÉTHYLÈNE")</f>
        <v xml:space="preserve">   TUBES ET TUYAUX RIGIDES, EN POLYMÈRES DE L'ÉTHYLÈNE</v>
      </c>
      <c r="C4567">
        <v>32561199</v>
      </c>
      <c r="D4567">
        <v>1600</v>
      </c>
    </row>
    <row r="4568" spans="1:4" x14ac:dyDescent="0.25">
      <c r="A4568" t="str">
        <f>T("   391723")</f>
        <v xml:space="preserve">   391723</v>
      </c>
      <c r="B4568" t="str">
        <f>T("   TUBES ET TUYAUX RIGIDES, EN POLYMÈRES DU CHLORURE DE VINYLE")</f>
        <v xml:space="preserve">   TUBES ET TUYAUX RIGIDES, EN POLYMÈRES DU CHLORURE DE VINYLE</v>
      </c>
      <c r="C4568">
        <v>17338412</v>
      </c>
      <c r="D4568">
        <v>1795</v>
      </c>
    </row>
    <row r="4569" spans="1:4" x14ac:dyDescent="0.25">
      <c r="A4569" t="str">
        <f>T("   391729")</f>
        <v xml:space="preserve">   391729</v>
      </c>
      <c r="B4569" t="str">
        <f>T("   TUBES ET TUYAUX RIGIDES, EN MATIÈRES PLASTIQUES (À L'EXCL. DES TUBES ET TUYAUX EN POLYMÈRES DE L'ÉTHYLÈNE, DU PROPYLÈNE OU DU CHLORURE DE VINYLE)")</f>
        <v xml:space="preserve">   TUBES ET TUYAUX RIGIDES, EN MATIÈRES PLASTIQUES (À L'EXCL. DES TUBES ET TUYAUX EN POLYMÈRES DE L'ÉTHYLÈNE, DU PROPYLÈNE OU DU CHLORURE DE VINYLE)</v>
      </c>
      <c r="C4569">
        <v>28460180</v>
      </c>
      <c r="D4569">
        <v>15696</v>
      </c>
    </row>
    <row r="4570" spans="1:4" x14ac:dyDescent="0.25">
      <c r="A4570" t="str">
        <f>T("   391731")</f>
        <v xml:space="preserve">   391731</v>
      </c>
      <c r="B4570" t="str">
        <f>T("   Tubes et tuyaux souples, en matières plastiques, pouvant supporter une pression &gt;= 27,6 MPa, même munis d'accessoires")</f>
        <v xml:space="preserve">   Tubes et tuyaux souples, en matières plastiques, pouvant supporter une pression &gt;= 27,6 MPa, même munis d'accessoires</v>
      </c>
      <c r="C4570">
        <v>7096821</v>
      </c>
      <c r="D4570">
        <v>2371</v>
      </c>
    </row>
    <row r="4571" spans="1:4" x14ac:dyDescent="0.25">
      <c r="A4571" t="str">
        <f>T("   391732")</f>
        <v xml:space="preserve">   391732</v>
      </c>
      <c r="B4571" t="str">
        <f>T("   TUBES ET TUYAUX SOUPLES, EN MATIÈRES PLASTIQUES, NON-RENFORCÉS D'AUTRES MATIÈRES NI AUTREMENT ASSOCIÉS À D'AUTRES MATIÈRES, SANS ACCESSOIRES")</f>
        <v xml:space="preserve">   TUBES ET TUYAUX SOUPLES, EN MATIÈRES PLASTIQUES, NON-RENFORCÉS D'AUTRES MATIÈRES NI AUTREMENT ASSOCIÉS À D'AUTRES MATIÈRES, SANS ACCESSOIRES</v>
      </c>
      <c r="C4571">
        <v>479507</v>
      </c>
      <c r="D4571">
        <v>59</v>
      </c>
    </row>
    <row r="4572" spans="1:4" x14ac:dyDescent="0.25">
      <c r="A4572" t="str">
        <f>T("   391739")</f>
        <v xml:space="preserve">   391739</v>
      </c>
      <c r="B4572" t="str">
        <f>T("   TUBES ET TUYAUX SOUPLES, EN MATIÈRES PLASTIQUES, RENFORCÉS D'AUTRES MATIÈRES OU ASSOCIÉS À D'AUTRES MATIÈRES (À L'EXCL. DES PRODUITS POUVANT SUPPORTER UNE PRESSION &gt;= 27,6 MPA)")</f>
        <v xml:space="preserve">   TUBES ET TUYAUX SOUPLES, EN MATIÈRES PLASTIQUES, RENFORCÉS D'AUTRES MATIÈRES OU ASSOCIÉS À D'AUTRES MATIÈRES (À L'EXCL. DES PRODUITS POUVANT SUPPORTER UNE PRESSION &gt;= 27,6 MPA)</v>
      </c>
      <c r="C4572">
        <v>10726299</v>
      </c>
      <c r="D4572">
        <v>20721</v>
      </c>
    </row>
    <row r="4573" spans="1:4" x14ac:dyDescent="0.25">
      <c r="A4573" t="str">
        <f>T("   391740")</f>
        <v xml:space="preserve">   391740</v>
      </c>
      <c r="B4573" t="str">
        <f>T("   Accessoires pour tubes ou tuyaux [joints, coudes, raccords, par exemple], en matières plastiques")</f>
        <v xml:space="preserve">   Accessoires pour tubes ou tuyaux [joints, coudes, raccords, par exemple], en matières plastiques</v>
      </c>
      <c r="C4573">
        <v>173668554</v>
      </c>
      <c r="D4573">
        <v>103388</v>
      </c>
    </row>
    <row r="4574" spans="1:4" x14ac:dyDescent="0.25">
      <c r="A4574" t="str">
        <f>T("   391810")</f>
        <v xml:space="preserve">   391810</v>
      </c>
      <c r="B4574" t="s">
        <v>131</v>
      </c>
      <c r="C4574">
        <v>2095792</v>
      </c>
      <c r="D4574">
        <v>14378</v>
      </c>
    </row>
    <row r="4575" spans="1:4" x14ac:dyDescent="0.25">
      <c r="A4575" t="str">
        <f>T("   391890")</f>
        <v xml:space="preserve">   391890</v>
      </c>
      <c r="B4575" t="s">
        <v>132</v>
      </c>
      <c r="C4575">
        <v>100362</v>
      </c>
      <c r="D4575">
        <v>292</v>
      </c>
    </row>
    <row r="4576" spans="1:4" x14ac:dyDescent="0.25">
      <c r="A4576" t="str">
        <f>T("   391910")</f>
        <v xml:space="preserve">   391910</v>
      </c>
      <c r="B4576" t="str">
        <f>T("   Feuilles, bandes, rubans, pellicules et autres formes plates, auto-adhésifs, en matières plastiques, en rouleaux d'une largeur &lt;= 20 cm")</f>
        <v xml:space="preserve">   Feuilles, bandes, rubans, pellicules et autres formes plates, auto-adhésifs, en matières plastiques, en rouleaux d'une largeur &lt;= 20 cm</v>
      </c>
      <c r="C4576">
        <v>35745165</v>
      </c>
      <c r="D4576">
        <v>7737.5</v>
      </c>
    </row>
    <row r="4577" spans="1:4" x14ac:dyDescent="0.25">
      <c r="A4577" t="str">
        <f>T("   391990")</f>
        <v xml:space="preserve">   391990</v>
      </c>
      <c r="B4577" t="s">
        <v>133</v>
      </c>
      <c r="C4577">
        <v>72232101</v>
      </c>
      <c r="D4577">
        <v>9422</v>
      </c>
    </row>
    <row r="4578" spans="1:4" x14ac:dyDescent="0.25">
      <c r="A4578" t="str">
        <f>T("   392010")</f>
        <v xml:space="preserve">   392010</v>
      </c>
      <c r="B4578" t="s">
        <v>134</v>
      </c>
      <c r="C4578">
        <v>66334906</v>
      </c>
      <c r="D4578">
        <v>41413</v>
      </c>
    </row>
    <row r="4579" spans="1:4" x14ac:dyDescent="0.25">
      <c r="A4579" t="str">
        <f>T("   392043")</f>
        <v xml:space="preserve">   392043</v>
      </c>
      <c r="B4579" t="s">
        <v>137</v>
      </c>
      <c r="C4579">
        <v>307875</v>
      </c>
      <c r="D4579">
        <v>199</v>
      </c>
    </row>
    <row r="4580" spans="1:4" x14ac:dyDescent="0.25">
      <c r="A4580" t="str">
        <f>T("   392051")</f>
        <v xml:space="preserve">   392051</v>
      </c>
      <c r="B4580" t="s">
        <v>139</v>
      </c>
      <c r="C4580">
        <v>3392310</v>
      </c>
      <c r="D4580">
        <v>2287.85</v>
      </c>
    </row>
    <row r="4581" spans="1:4" x14ac:dyDescent="0.25">
      <c r="A4581" t="str">
        <f>T("   392062")</f>
        <v xml:space="preserve">   392062</v>
      </c>
      <c r="B4581" t="s">
        <v>140</v>
      </c>
      <c r="C4581">
        <v>182534</v>
      </c>
      <c r="D4581">
        <v>17</v>
      </c>
    </row>
    <row r="4582" spans="1:4" x14ac:dyDescent="0.25">
      <c r="A4582" t="str">
        <f>T("   392063")</f>
        <v xml:space="preserve">   392063</v>
      </c>
      <c r="B4582" t="s">
        <v>141</v>
      </c>
      <c r="C4582">
        <v>218453</v>
      </c>
      <c r="D4582">
        <v>914</v>
      </c>
    </row>
    <row r="4583" spans="1:4" x14ac:dyDescent="0.25">
      <c r="A4583" t="str">
        <f>T("   392069")</f>
        <v xml:space="preserve">   392069</v>
      </c>
      <c r="B4583" t="s">
        <v>142</v>
      </c>
      <c r="C4583">
        <v>4697330</v>
      </c>
      <c r="D4583">
        <v>1663</v>
      </c>
    </row>
    <row r="4584" spans="1:4" x14ac:dyDescent="0.25">
      <c r="A4584" t="str">
        <f>T("   392079")</f>
        <v xml:space="preserve">   392079</v>
      </c>
      <c r="B4584" t="s">
        <v>143</v>
      </c>
      <c r="C4584">
        <v>17072017</v>
      </c>
      <c r="D4584">
        <v>202</v>
      </c>
    </row>
    <row r="4585" spans="1:4" x14ac:dyDescent="0.25">
      <c r="A4585" t="str">
        <f>T("   392099")</f>
        <v xml:space="preserve">   392099</v>
      </c>
      <c r="B4585" t="s">
        <v>145</v>
      </c>
      <c r="C4585">
        <v>63844026</v>
      </c>
      <c r="D4585">
        <v>30580</v>
      </c>
    </row>
    <row r="4586" spans="1:4" x14ac:dyDescent="0.25">
      <c r="A4586" t="str">
        <f>T("   392112")</f>
        <v xml:space="preserve">   392112</v>
      </c>
      <c r="B4586" t="s">
        <v>146</v>
      </c>
      <c r="C4586">
        <v>709171</v>
      </c>
      <c r="D4586">
        <v>398</v>
      </c>
    </row>
    <row r="4587" spans="1:4" x14ac:dyDescent="0.25">
      <c r="A4587" t="str">
        <f>T("   392190")</f>
        <v xml:space="preserve">   392190</v>
      </c>
      <c r="B4587" t="s">
        <v>149</v>
      </c>
      <c r="C4587">
        <v>10731972</v>
      </c>
      <c r="D4587">
        <v>2793</v>
      </c>
    </row>
    <row r="4588" spans="1:4" x14ac:dyDescent="0.25">
      <c r="A4588" t="str">
        <f>T("   392210")</f>
        <v xml:space="preserve">   392210</v>
      </c>
      <c r="B4588" t="str">
        <f>T("   Baignoires, douches, éviers et lavabos, en matières plastiques")</f>
        <v xml:space="preserve">   Baignoires, douches, éviers et lavabos, en matières plastiques</v>
      </c>
      <c r="C4588">
        <v>12865072</v>
      </c>
      <c r="D4588">
        <v>6481</v>
      </c>
    </row>
    <row r="4589" spans="1:4" x14ac:dyDescent="0.25">
      <c r="A4589" t="str">
        <f>T("   392220")</f>
        <v xml:space="preserve">   392220</v>
      </c>
      <c r="B4589" t="str">
        <f>T("   Sièges et couvercles de cuvettes d'aisance, en matières plastiques")</f>
        <v xml:space="preserve">   Sièges et couvercles de cuvettes d'aisance, en matières plastiques</v>
      </c>
      <c r="C4589">
        <v>2258451</v>
      </c>
      <c r="D4589">
        <v>602</v>
      </c>
    </row>
    <row r="4590" spans="1:4" x14ac:dyDescent="0.25">
      <c r="A4590" t="str">
        <f>T("   392290")</f>
        <v xml:space="preserve">   392290</v>
      </c>
      <c r="B4590" t="str">
        <f>T("   Bidets, cuvettes d'aisance, réservoirs de chasse et articles simil. pour usages sanitaires ou hygiéniques, en matières plastiques (à l'excl. des baignoires, des douches, d'éviers, des lavabos ainsi que des sièges et couvercles de cuvettes d'aisance)")</f>
        <v xml:space="preserve">   Bidets, cuvettes d'aisance, réservoirs de chasse et articles simil. pour usages sanitaires ou hygiéniques, en matières plastiques (à l'excl. des baignoires, des douches, d'éviers, des lavabos ainsi que des sièges et couvercles de cuvettes d'aisance)</v>
      </c>
      <c r="C4590">
        <v>26832618</v>
      </c>
      <c r="D4590">
        <v>12232</v>
      </c>
    </row>
    <row r="4591" spans="1:4" x14ac:dyDescent="0.25">
      <c r="A4591" t="str">
        <f>T("   392310")</f>
        <v xml:space="preserve">   392310</v>
      </c>
      <c r="B4591" t="str">
        <f>T("   Boîtes, caisses, casiers et articles simil. pour le transport ou l'emballage, en matières plastiques")</f>
        <v xml:space="preserve">   Boîtes, caisses, casiers et articles simil. pour le transport ou l'emballage, en matières plastiques</v>
      </c>
      <c r="C4591">
        <v>34730813</v>
      </c>
      <c r="D4591">
        <v>5254</v>
      </c>
    </row>
    <row r="4592" spans="1:4" x14ac:dyDescent="0.25">
      <c r="A4592" t="str">
        <f>T("   392321")</f>
        <v xml:space="preserve">   392321</v>
      </c>
      <c r="B4592" t="str">
        <f>T("   Sacs, sachets, pochettes et cornets, en polymères de l'éthylène")</f>
        <v xml:space="preserve">   Sacs, sachets, pochettes et cornets, en polymères de l'éthylène</v>
      </c>
      <c r="C4592">
        <v>238901</v>
      </c>
      <c r="D4592">
        <v>44</v>
      </c>
    </row>
    <row r="4593" spans="1:4" x14ac:dyDescent="0.25">
      <c r="A4593" t="str">
        <f>T("   392329")</f>
        <v xml:space="preserve">   392329</v>
      </c>
      <c r="B4593" t="str">
        <f>T("   Sacs, sachets, pochettes et cornets, en matières plastiques (autres que les polymères de l'éthylène)")</f>
        <v xml:space="preserve">   Sacs, sachets, pochettes et cornets, en matières plastiques (autres que les polymères de l'éthylène)</v>
      </c>
      <c r="C4593">
        <v>80756826</v>
      </c>
      <c r="D4593">
        <v>27205</v>
      </c>
    </row>
    <row r="4594" spans="1:4" x14ac:dyDescent="0.25">
      <c r="A4594" t="str">
        <f>T("   392330")</f>
        <v xml:space="preserve">   392330</v>
      </c>
      <c r="B4594" t="str">
        <f>T("   Bonbonnes, bouteilles, flacons et articles simil. pour le transport ou l'emballage, en matières plastiques")</f>
        <v xml:space="preserve">   Bonbonnes, bouteilles, flacons et articles simil. pour le transport ou l'emballage, en matières plastiques</v>
      </c>
      <c r="C4594">
        <v>177653592</v>
      </c>
      <c r="D4594">
        <v>132553</v>
      </c>
    </row>
    <row r="4595" spans="1:4" x14ac:dyDescent="0.25">
      <c r="A4595" t="str">
        <f>T("   392350")</f>
        <v xml:space="preserve">   392350</v>
      </c>
      <c r="B4595" t="str">
        <f>T("   Bouchons, couvercles, capsules et autres dispositifs de fermeture, en matières plastiques")</f>
        <v xml:space="preserve">   Bouchons, couvercles, capsules et autres dispositifs de fermeture, en matières plastiques</v>
      </c>
      <c r="C4595">
        <v>34031703</v>
      </c>
      <c r="D4595">
        <v>10207</v>
      </c>
    </row>
    <row r="4596" spans="1:4" x14ac:dyDescent="0.25">
      <c r="A4596" t="str">
        <f>T("   392390")</f>
        <v xml:space="preserve">   392390</v>
      </c>
      <c r="B4596" t="s">
        <v>150</v>
      </c>
      <c r="C4596">
        <v>52394875</v>
      </c>
      <c r="D4596">
        <v>31522.25</v>
      </c>
    </row>
    <row r="4597" spans="1:4" x14ac:dyDescent="0.25">
      <c r="A4597" t="str">
        <f>T("   392410")</f>
        <v xml:space="preserve">   392410</v>
      </c>
      <c r="B4597" t="str">
        <f>T("   Vaisselle et autres articles pour le service de la table ou de la cuisine, en matières plastiques")</f>
        <v xml:space="preserve">   Vaisselle et autres articles pour le service de la table ou de la cuisine, en matières plastiques</v>
      </c>
      <c r="C4597">
        <v>106366091</v>
      </c>
      <c r="D4597">
        <v>30835</v>
      </c>
    </row>
    <row r="4598" spans="1:4" x14ac:dyDescent="0.25">
      <c r="A4598" t="str">
        <f>T("   392490")</f>
        <v xml:space="preserve">   392490</v>
      </c>
      <c r="B4598" t="s">
        <v>151</v>
      </c>
      <c r="C4598">
        <v>77943204</v>
      </c>
      <c r="D4598">
        <v>36359</v>
      </c>
    </row>
    <row r="4599" spans="1:4" x14ac:dyDescent="0.25">
      <c r="A4599" t="str">
        <f>T("   392520")</f>
        <v xml:space="preserve">   392520</v>
      </c>
      <c r="B4599" t="str">
        <f>T("   Portes, fenêtres et leurs cadres, chambranles et seuils, en matières plastiques")</f>
        <v xml:space="preserve">   Portes, fenêtres et leurs cadres, chambranles et seuils, en matières plastiques</v>
      </c>
      <c r="C4599">
        <v>131848</v>
      </c>
      <c r="D4599">
        <v>368</v>
      </c>
    </row>
    <row r="4600" spans="1:4" x14ac:dyDescent="0.25">
      <c r="A4600" t="str">
        <f>T("   392590")</f>
        <v xml:space="preserve">   392590</v>
      </c>
      <c r="B4600" t="s">
        <v>152</v>
      </c>
      <c r="C4600">
        <v>59281131</v>
      </c>
      <c r="D4600">
        <v>24040</v>
      </c>
    </row>
    <row r="4601" spans="1:4" x14ac:dyDescent="0.25">
      <c r="A4601" t="str">
        <f>T("   392610")</f>
        <v xml:space="preserve">   392610</v>
      </c>
      <c r="B4601" t="str">
        <f>T("   Articles de bureau et articles scolaires, en matières plastiques, n.d.a.")</f>
        <v xml:space="preserve">   Articles de bureau et articles scolaires, en matières plastiques, n.d.a.</v>
      </c>
      <c r="C4601">
        <v>44614550</v>
      </c>
      <c r="D4601">
        <v>57337</v>
      </c>
    </row>
    <row r="4602" spans="1:4" x14ac:dyDescent="0.25">
      <c r="A4602" t="str">
        <f>T("   392620")</f>
        <v xml:space="preserve">   392620</v>
      </c>
      <c r="B4602" t="str">
        <f>T("   Vêtements et accessoires du vêtement, y.c. les gants, mitaines et moufles, fabriqués par couture ou collage à partir de feuilles en matières plastiques")</f>
        <v xml:space="preserve">   Vêtements et accessoires du vêtement, y.c. les gants, mitaines et moufles, fabriqués par couture ou collage à partir de feuilles en matières plastiques</v>
      </c>
      <c r="C4602">
        <v>7317186</v>
      </c>
      <c r="D4602">
        <v>3295</v>
      </c>
    </row>
    <row r="4603" spans="1:4" x14ac:dyDescent="0.25">
      <c r="A4603" t="str">
        <f>T("   392630")</f>
        <v xml:space="preserve">   392630</v>
      </c>
      <c r="B4603" t="str">
        <f>T("   Garnitures pour meubles, carrosseries ou simil., en matières plastiques (à l'excl. des articles d'équipement pour la construction destinés à être fixés à demeure sur des parties de bâtiments)")</f>
        <v xml:space="preserve">   Garnitures pour meubles, carrosseries ou simil., en matières plastiques (à l'excl. des articles d'équipement pour la construction destinés à être fixés à demeure sur des parties de bâtiments)</v>
      </c>
      <c r="C4603">
        <v>186000</v>
      </c>
      <c r="D4603">
        <v>131</v>
      </c>
    </row>
    <row r="4604" spans="1:4" x14ac:dyDescent="0.25">
      <c r="A4604" t="str">
        <f>T("   392640")</f>
        <v xml:space="preserve">   392640</v>
      </c>
      <c r="B4604" t="str">
        <f>T("   Statuettes et autres objets d'ornementation, en matières plastiques")</f>
        <v xml:space="preserve">   Statuettes et autres objets d'ornementation, en matières plastiques</v>
      </c>
      <c r="C4604">
        <v>9633041</v>
      </c>
      <c r="D4604">
        <v>6209</v>
      </c>
    </row>
    <row r="4605" spans="1:4" x14ac:dyDescent="0.25">
      <c r="A4605" t="str">
        <f>T("   392690")</f>
        <v xml:space="preserve">   392690</v>
      </c>
      <c r="B4605" t="str">
        <f>T("   Ouvrages en matières plastiques et ouvrages en autres matières du n° 3901 à 3914, n.d.a.")</f>
        <v xml:space="preserve">   Ouvrages en matières plastiques et ouvrages en autres matières du n° 3901 à 3914, n.d.a.</v>
      </c>
      <c r="C4605">
        <v>122901371</v>
      </c>
      <c r="D4605">
        <v>45516.09</v>
      </c>
    </row>
    <row r="4606" spans="1:4" x14ac:dyDescent="0.25">
      <c r="A4606" t="str">
        <f>T("   400211")</f>
        <v xml:space="preserve">   400211</v>
      </c>
      <c r="B4606" t="str">
        <f>T("   Latex de caoutchouc styrène-butadiène [SBR] ou de caoutchouc styrène-butadiène carboxylé [XSBR]")</f>
        <v xml:space="preserve">   Latex de caoutchouc styrène-butadiène [SBR] ou de caoutchouc styrène-butadiène carboxylé [XSBR]</v>
      </c>
      <c r="C4606">
        <v>46880726</v>
      </c>
      <c r="D4606">
        <v>23009</v>
      </c>
    </row>
    <row r="4607" spans="1:4" x14ac:dyDescent="0.25">
      <c r="A4607" t="str">
        <f>T("   400219")</f>
        <v xml:space="preserve">   400219</v>
      </c>
      <c r="B4607" t="str">
        <f>T("   Caoutchouc styrène-butadiène [SBR] ou caoutchouc styrène-butadiène carboxylé [XSBR], sous formes primaires ou en plaques, feuilles ou bandes (à l'excl. du latex)")</f>
        <v xml:space="preserve">   Caoutchouc styrène-butadiène [SBR] ou caoutchouc styrène-butadiène carboxylé [XSBR], sous formes primaires ou en plaques, feuilles ou bandes (à l'excl. du latex)</v>
      </c>
      <c r="C4607">
        <v>1706152</v>
      </c>
      <c r="D4607">
        <v>903</v>
      </c>
    </row>
    <row r="4608" spans="1:4" x14ac:dyDescent="0.25">
      <c r="A4608" t="str">
        <f>T("   400700")</f>
        <v xml:space="preserve">   400700</v>
      </c>
      <c r="B4608" t="s">
        <v>154</v>
      </c>
      <c r="C4608">
        <v>265665</v>
      </c>
      <c r="D4608">
        <v>16</v>
      </c>
    </row>
    <row r="4609" spans="1:4" x14ac:dyDescent="0.25">
      <c r="A4609" t="str">
        <f>T("   400821")</f>
        <v xml:space="preserve">   400821</v>
      </c>
      <c r="B4609" t="str">
        <f>T("   PLAQUES, FEUILLES ET BANDES, EN CAOUTCHOUC NON-ALVÉOLAIRE NON-DURCI")</f>
        <v xml:space="preserve">   PLAQUES, FEUILLES ET BANDES, EN CAOUTCHOUC NON-ALVÉOLAIRE NON-DURCI</v>
      </c>
      <c r="C4609">
        <v>323133</v>
      </c>
      <c r="D4609">
        <v>5</v>
      </c>
    </row>
    <row r="4610" spans="1:4" x14ac:dyDescent="0.25">
      <c r="A4610" t="str">
        <f>T("   400829")</f>
        <v xml:space="preserve">   400829</v>
      </c>
      <c r="B4610" t="str">
        <f>T("   Baguettes et profilés, en caoutchouc non alvéolaire non durci")</f>
        <v xml:space="preserve">   Baguettes et profilés, en caoutchouc non alvéolaire non durci</v>
      </c>
      <c r="C4610">
        <v>851899</v>
      </c>
      <c r="D4610">
        <v>341</v>
      </c>
    </row>
    <row r="4611" spans="1:4" x14ac:dyDescent="0.25">
      <c r="A4611" t="str">
        <f>T("   400911")</f>
        <v xml:space="preserve">   400911</v>
      </c>
      <c r="B4611" t="str">
        <f>T("   Tubes et tuyaux en caoutchouc vulcanisé non durci, non renforcés à l'aide d'autres matières ni autrement associés à d'autres matières, sans accessoires")</f>
        <v xml:space="preserve">   Tubes et tuyaux en caoutchouc vulcanisé non durci, non renforcés à l'aide d'autres matières ni autrement associés à d'autres matières, sans accessoires</v>
      </c>
      <c r="C4611">
        <v>21484329</v>
      </c>
      <c r="D4611">
        <v>1754.75</v>
      </c>
    </row>
    <row r="4612" spans="1:4" x14ac:dyDescent="0.25">
      <c r="A4612" t="str">
        <f>T("   400912")</f>
        <v xml:space="preserve">   400912</v>
      </c>
      <c r="B4612" t="str">
        <f>T("   TUBES ET TUYAUX EN CAOUTCHOUC VULCANISÉ NON DURCI, NON RENFORCÉS À L'AIDE D'AUTRES MATIÈRES NI AUTREMENT ASSOCIÉS À D'AUTRES MATIÈRES, AVEC ACCESSOIRES [JOINTS, COUDES, RACCORDS, PAR EXEMPLE]")</f>
        <v xml:space="preserve">   TUBES ET TUYAUX EN CAOUTCHOUC VULCANISÉ NON DURCI, NON RENFORCÉS À L'AIDE D'AUTRES MATIÈRES NI AUTREMENT ASSOCIÉS À D'AUTRES MATIÈRES, AVEC ACCESSOIRES [JOINTS, COUDES, RACCORDS, PAR EXEMPLE]</v>
      </c>
      <c r="C4612">
        <v>4419593</v>
      </c>
      <c r="D4612">
        <v>621</v>
      </c>
    </row>
    <row r="4613" spans="1:4" x14ac:dyDescent="0.25">
      <c r="A4613" t="str">
        <f>T("   400921")</f>
        <v xml:space="preserve">   400921</v>
      </c>
      <c r="B4613" t="str">
        <f>T("   Tubes et tuyaux en caoutchouc vulcanisé non durci, renforcés seulement à l'aide de métal ou autrement associés seulement à du métal, sans accessoires")</f>
        <v xml:space="preserve">   Tubes et tuyaux en caoutchouc vulcanisé non durci, renforcés seulement à l'aide de métal ou autrement associés seulement à du métal, sans accessoires</v>
      </c>
      <c r="C4613">
        <v>16845053</v>
      </c>
      <c r="D4613">
        <v>3936</v>
      </c>
    </row>
    <row r="4614" spans="1:4" x14ac:dyDescent="0.25">
      <c r="A4614" t="str">
        <f>T("   400922")</f>
        <v xml:space="preserve">   400922</v>
      </c>
      <c r="B4614" t="str">
        <f>T("   TUBES ET TUYAUX EN CAOUTCHOUC VULCANISÉ NON DURCI, RENFORCÉS SEULEMENT À L'AIDE DE MÉTAL OU AUTREMENT ASSOCIÉS SEULEMENT À DU MÉTAL, AVEC ACCESSOIRES [JOINTS, COUDES, RACCORDS, PAR EXEMPLE]")</f>
        <v xml:space="preserve">   TUBES ET TUYAUX EN CAOUTCHOUC VULCANISÉ NON DURCI, RENFORCÉS SEULEMENT À L'AIDE DE MÉTAL OU AUTREMENT ASSOCIÉS SEULEMENT À DU MÉTAL, AVEC ACCESSOIRES [JOINTS, COUDES, RACCORDS, PAR EXEMPLE]</v>
      </c>
      <c r="C4614">
        <v>3431983</v>
      </c>
      <c r="D4614">
        <v>470</v>
      </c>
    </row>
    <row r="4615" spans="1:4" x14ac:dyDescent="0.25">
      <c r="A4615" t="str">
        <f>T("   400931")</f>
        <v xml:space="preserve">   400931</v>
      </c>
      <c r="B4615" t="str">
        <f>T("   Tubes et tuyaux en caoutchouc vulcanisé non durci, renforcés seulement à l'aide de matières textiles ou autrement associés seulement à des matières textiles, sans accessoires")</f>
        <v xml:space="preserve">   Tubes et tuyaux en caoutchouc vulcanisé non durci, renforcés seulement à l'aide de matières textiles ou autrement associés seulement à des matières textiles, sans accessoires</v>
      </c>
      <c r="C4615">
        <v>1445735</v>
      </c>
      <c r="D4615">
        <v>66</v>
      </c>
    </row>
    <row r="4616" spans="1:4" x14ac:dyDescent="0.25">
      <c r="A4616" t="str">
        <f>T("   400932")</f>
        <v xml:space="preserve">   400932</v>
      </c>
      <c r="B4616" t="str">
        <f>T("   TUBES ET TUYAUX EN CAOUTCHOUC VULCANISÉ NON DURCI, RENFORCÉS SEULEMENT À L'AIDE DE MATIÈRES TEXTILES OU AUTREMENT ASSOCIÉS SEULEMENT À DES MATIÈRES TEXTILES, AVEC ACCESSOIRES [JOINTS, COUDES, RACCORDS, PAR EXEMPLE]")</f>
        <v xml:space="preserve">   TUBES ET TUYAUX EN CAOUTCHOUC VULCANISÉ NON DURCI, RENFORCÉS SEULEMENT À L'AIDE DE MATIÈRES TEXTILES OU AUTREMENT ASSOCIÉS SEULEMENT À DES MATIÈRES TEXTILES, AVEC ACCESSOIRES [JOINTS, COUDES, RACCORDS, PAR EXEMPLE]</v>
      </c>
      <c r="C4616">
        <v>2009862</v>
      </c>
      <c r="D4616">
        <v>372</v>
      </c>
    </row>
    <row r="4617" spans="1:4" x14ac:dyDescent="0.25">
      <c r="A4617" t="str">
        <f>T("   400941")</f>
        <v xml:space="preserve">   400941</v>
      </c>
      <c r="B4617" t="str">
        <f>T("   Tubes et tuyaux en caoutchouc vulcanisé non durci, renforcés à l'aide d'autres matières que le métal ou les matières textiles ou autrement associés à d'autres matières que le métal ou les matières textiles, sans accessoires")</f>
        <v xml:space="preserve">   Tubes et tuyaux en caoutchouc vulcanisé non durci, renforcés à l'aide d'autres matières que le métal ou les matières textiles ou autrement associés à d'autres matières que le métal ou les matières textiles, sans accessoires</v>
      </c>
      <c r="C4617">
        <v>6426440</v>
      </c>
      <c r="D4617">
        <v>119</v>
      </c>
    </row>
    <row r="4618" spans="1:4" x14ac:dyDescent="0.25">
      <c r="A4618" t="str">
        <f>T("   400942")</f>
        <v xml:space="preserve">   400942</v>
      </c>
      <c r="B4618" t="s">
        <v>155</v>
      </c>
      <c r="C4618">
        <v>3073343</v>
      </c>
      <c r="D4618">
        <v>369</v>
      </c>
    </row>
    <row r="4619" spans="1:4" x14ac:dyDescent="0.25">
      <c r="A4619" t="str">
        <f>T("   401012")</f>
        <v xml:space="preserve">   401012</v>
      </c>
      <c r="B4619" t="str">
        <f>T("   Courroies transporteuses, en caoutchouc vulcanisé, renforcées seulement de matières textiles")</f>
        <v xml:space="preserve">   Courroies transporteuses, en caoutchouc vulcanisé, renforcées seulement de matières textiles</v>
      </c>
      <c r="C4619">
        <v>37687526</v>
      </c>
      <c r="D4619">
        <v>4193</v>
      </c>
    </row>
    <row r="4620" spans="1:4" x14ac:dyDescent="0.25">
      <c r="A4620" t="str">
        <f>T("   401019")</f>
        <v xml:space="preserve">   401019</v>
      </c>
      <c r="B4620" t="str">
        <f>T("   Courroies transporteuses, en caoutchouc vulcanisé (à l'excl. des produits renforcés seulement de métal, de matières textiles ou de matières plastiques)")</f>
        <v xml:space="preserve">   Courroies transporteuses, en caoutchouc vulcanisé (à l'excl. des produits renforcés seulement de métal, de matières textiles ou de matières plastiques)</v>
      </c>
      <c r="C4620">
        <v>5264121</v>
      </c>
      <c r="D4620">
        <v>1169</v>
      </c>
    </row>
    <row r="4621" spans="1:4" x14ac:dyDescent="0.25">
      <c r="A4621" t="str">
        <f>T("   401029")</f>
        <v xml:space="preserve">   401029</v>
      </c>
      <c r="B4621" t="s">
        <v>156</v>
      </c>
      <c r="C4621">
        <v>203328</v>
      </c>
      <c r="D4621">
        <v>14</v>
      </c>
    </row>
    <row r="4622" spans="1:4" x14ac:dyDescent="0.25">
      <c r="A4622" t="str">
        <f>T("   401031")</f>
        <v xml:space="preserve">   401031</v>
      </c>
      <c r="B4622" t="str">
        <f>T("   Courroies de transmission sans fin de section trapézoïdale, en caoutchouc vulcanisé, striées, d'une circonférence extérieure &gt; 60 cm mais &lt;= 180 cm")</f>
        <v xml:space="preserve">   Courroies de transmission sans fin de section trapézoïdale, en caoutchouc vulcanisé, striées, d'une circonférence extérieure &gt; 60 cm mais &lt;= 180 cm</v>
      </c>
      <c r="C4622">
        <v>1714679</v>
      </c>
      <c r="D4622">
        <v>137</v>
      </c>
    </row>
    <row r="4623" spans="1:4" x14ac:dyDescent="0.25">
      <c r="A4623" t="str">
        <f>T("   401032")</f>
        <v xml:space="preserve">   401032</v>
      </c>
      <c r="B4623" t="str">
        <f>T("   Courroies de transmission sans fin de section trapézoïdale, en caoutchouc vulcanisé, d'une circonférence extérieure &gt; 60 cm mais &lt;= 180 cm (sauf striées)")</f>
        <v xml:space="preserve">   Courroies de transmission sans fin de section trapézoïdale, en caoutchouc vulcanisé, d'une circonférence extérieure &gt; 60 cm mais &lt;= 180 cm (sauf striées)</v>
      </c>
      <c r="C4623">
        <v>2027573</v>
      </c>
      <c r="D4623">
        <v>200</v>
      </c>
    </row>
    <row r="4624" spans="1:4" x14ac:dyDescent="0.25">
      <c r="A4624" t="str">
        <f>T("   401039")</f>
        <v xml:space="preserve">   401039</v>
      </c>
      <c r="B4624" t="s">
        <v>157</v>
      </c>
      <c r="C4624">
        <v>42372658</v>
      </c>
      <c r="D4624">
        <v>6574</v>
      </c>
    </row>
    <row r="4625" spans="1:4" x14ac:dyDescent="0.25">
      <c r="A4625" t="str">
        <f>T("   401110")</f>
        <v xml:space="preserve">   401110</v>
      </c>
      <c r="B4625"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4625">
        <v>16759356</v>
      </c>
      <c r="D4625">
        <v>8419</v>
      </c>
    </row>
    <row r="4626" spans="1:4" x14ac:dyDescent="0.25">
      <c r="A4626" t="str">
        <f>T("   401120")</f>
        <v xml:space="preserve">   401120</v>
      </c>
      <c r="B4626"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4626">
        <v>218487138</v>
      </c>
      <c r="D4626">
        <v>92946</v>
      </c>
    </row>
    <row r="4627" spans="1:4" x14ac:dyDescent="0.25">
      <c r="A4627" t="str">
        <f>T("   401140")</f>
        <v xml:space="preserve">   401140</v>
      </c>
      <c r="B4627" t="str">
        <f>T("   Pneumatiques neufs, en caoutchouc, des types utilisés pour les motocycles")</f>
        <v xml:space="preserve">   Pneumatiques neufs, en caoutchouc, des types utilisés pour les motocycles</v>
      </c>
      <c r="C4627">
        <v>3044967</v>
      </c>
      <c r="D4627">
        <v>1422</v>
      </c>
    </row>
    <row r="4628" spans="1:4" x14ac:dyDescent="0.25">
      <c r="A4628" t="str">
        <f>T("   401161")</f>
        <v xml:space="preserve">   401161</v>
      </c>
      <c r="B4628" t="str">
        <f>T("   Pneumatiques neufs, en caoutchouc, à crampons, à chevrons ou simil., des types utilisés pour les véhicules et engins agricoles et forestiers")</f>
        <v xml:space="preserve">   Pneumatiques neufs, en caoutchouc, à crampons, à chevrons ou simil., des types utilisés pour les véhicules et engins agricoles et forestiers</v>
      </c>
      <c r="C4628">
        <v>3424112</v>
      </c>
      <c r="D4628">
        <v>922</v>
      </c>
    </row>
    <row r="4629" spans="1:4" x14ac:dyDescent="0.25">
      <c r="A4629" t="str">
        <f>T("   401162")</f>
        <v xml:space="preserve">   401162</v>
      </c>
      <c r="B4629" t="str">
        <f>T("   Pneumatiques neufs, en caoutchouc, à crampons, à chevrons ou simil., des types utilisés pour les véhicules et engins de génie civil et de manutention industrielle, pour jantes d'un diamètre &lt;= 61 cm")</f>
        <v xml:space="preserve">   Pneumatiques neufs, en caoutchouc, à crampons, à chevrons ou simil., des types utilisés pour les véhicules et engins de génie civil et de manutention industrielle, pour jantes d'un diamètre &lt;= 61 cm</v>
      </c>
      <c r="C4629">
        <v>24980269</v>
      </c>
      <c r="D4629">
        <v>7273</v>
      </c>
    </row>
    <row r="4630" spans="1:4" x14ac:dyDescent="0.25">
      <c r="A4630" t="str">
        <f>T("   401163")</f>
        <v xml:space="preserve">   401163</v>
      </c>
      <c r="B4630" t="str">
        <f>T("   Pneumatiques neufs, en caoutchouc, à crampons, à chevrons ou simil., des types utilisés pour les véhicules et engins de génie civil et de manutention industrielle, pour jantes d'un diamètre &gt; 61 cm")</f>
        <v xml:space="preserve">   Pneumatiques neufs, en caoutchouc, à crampons, à chevrons ou simil., des types utilisés pour les véhicules et engins de génie civil et de manutention industrielle, pour jantes d'un diamètre &gt; 61 cm</v>
      </c>
      <c r="C4630">
        <v>533296</v>
      </c>
      <c r="D4630">
        <v>152</v>
      </c>
    </row>
    <row r="4631" spans="1:4" x14ac:dyDescent="0.25">
      <c r="A4631" t="str">
        <f>T("   401169")</f>
        <v xml:space="preserve">   401169</v>
      </c>
      <c r="B4631" t="str">
        <f>T("   Pneumatiques neufs, en caoutchouc, à crampons, à chevrons ou simil. (à l'excl. des articles des types utilisés pour les véhicules et engins agricoles et forestiers, de génie civil et de manutention industrielle)")</f>
        <v xml:space="preserve">   Pneumatiques neufs, en caoutchouc, à crampons, à chevrons ou simil. (à l'excl. des articles des types utilisés pour les véhicules et engins agricoles et forestiers, de génie civil et de manutention industrielle)</v>
      </c>
      <c r="C4631">
        <v>653992</v>
      </c>
      <c r="D4631">
        <v>582</v>
      </c>
    </row>
    <row r="4632" spans="1:4" x14ac:dyDescent="0.25">
      <c r="A4632" t="str">
        <f>T("   401193")</f>
        <v xml:space="preserve">   401193</v>
      </c>
      <c r="B4632" t="str">
        <f>T("   Pneumatiques neufs, en caoutchouc, des types utilisés pour les véhicules et engins de génie civil et de manutention industrielle, pour jantes d'un diamètre &lt;= 61 cm (à l'excl. des pneumatiques à crampons, à chevrons ou simil.)")</f>
        <v xml:space="preserve">   Pneumatiques neufs, en caoutchouc, des types utilisés pour les véhicules et engins de génie civil et de manutention industrielle, pour jantes d'un diamètre &lt;= 61 cm (à l'excl. des pneumatiques à crampons, à chevrons ou simil.)</v>
      </c>
      <c r="C4632">
        <v>71239222</v>
      </c>
      <c r="D4632">
        <v>19780</v>
      </c>
    </row>
    <row r="4633" spans="1:4" x14ac:dyDescent="0.25">
      <c r="A4633" t="str">
        <f>T("   401199")</f>
        <v xml:space="preserve">   401199</v>
      </c>
      <c r="B4633" t="s">
        <v>158</v>
      </c>
      <c r="C4633">
        <v>297680584</v>
      </c>
      <c r="D4633">
        <v>66611</v>
      </c>
    </row>
    <row r="4634" spans="1:4" x14ac:dyDescent="0.25">
      <c r="A4634" t="str">
        <f>T("   401211")</f>
        <v xml:space="preserve">   401211</v>
      </c>
      <c r="B4634" t="str">
        <f>T("   Pneumatiques rechapés, en caoutchouc, des types utilisés pour les voitures de tourisme, y.c. les voitures du type 'break' et les voitures de course")</f>
        <v xml:space="preserve">   Pneumatiques rechapés, en caoutchouc, des types utilisés pour les voitures de tourisme, y.c. les voitures du type 'break' et les voitures de course</v>
      </c>
      <c r="C4634">
        <v>118289971</v>
      </c>
      <c r="D4634">
        <v>305278</v>
      </c>
    </row>
    <row r="4635" spans="1:4" x14ac:dyDescent="0.25">
      <c r="A4635" t="str">
        <f>T("   401219")</f>
        <v xml:space="preserve">   401219</v>
      </c>
      <c r="B4635" t="str">
        <f>T("   Pneumatiques rechapés, en caoutchouc (à l'excl. des pneumatiques des types utilisés pour les voitures de tourisme, les voitures du type 'break', les voitures de course, les autobus, les camions ou les véhicules aériens)")</f>
        <v xml:space="preserve">   Pneumatiques rechapés, en caoutchouc (à l'excl. des pneumatiques des types utilisés pour les voitures de tourisme, les voitures du type 'break', les voitures de course, les autobus, les camions ou les véhicules aériens)</v>
      </c>
      <c r="C4635">
        <v>13586220</v>
      </c>
      <c r="D4635">
        <v>45170</v>
      </c>
    </row>
    <row r="4636" spans="1:4" x14ac:dyDescent="0.25">
      <c r="A4636" t="str">
        <f>T("   401220")</f>
        <v xml:space="preserve">   401220</v>
      </c>
      <c r="B4636" t="str">
        <f>T("   Pneumatiques usagés, en caoutchouc")</f>
        <v xml:space="preserve">   Pneumatiques usagés, en caoutchouc</v>
      </c>
      <c r="C4636">
        <v>1615579582</v>
      </c>
      <c r="D4636">
        <v>6522968</v>
      </c>
    </row>
    <row r="4637" spans="1:4" x14ac:dyDescent="0.25">
      <c r="A4637" t="str">
        <f>T("   401290")</f>
        <v xml:space="preserve">   401290</v>
      </c>
      <c r="B4637" t="str">
        <f>T("   Bandages pleins ou creux [mi-pleins], bandes de roulement amovibles pour pneumatiques et flaps, en caoutchouc")</f>
        <v xml:space="preserve">   Bandages pleins ou creux [mi-pleins], bandes de roulement amovibles pour pneumatiques et flaps, en caoutchouc</v>
      </c>
      <c r="C4637">
        <v>112109141</v>
      </c>
      <c r="D4637">
        <v>303680</v>
      </c>
    </row>
    <row r="4638" spans="1:4" x14ac:dyDescent="0.25">
      <c r="A4638" t="str">
        <f>T("   401310")</f>
        <v xml:space="preserve">   401310</v>
      </c>
      <c r="B4638" t="str">
        <f>T("   Chambres à air, en caoutchouc, des types utilisés pour les voitures de tourisme [y.c. les voitures du type 'break' et les voitures de course], les autobus ou les camions")</f>
        <v xml:space="preserve">   Chambres à air, en caoutchouc, des types utilisés pour les voitures de tourisme [y.c. les voitures du type 'break' et les voitures de course], les autobus ou les camions</v>
      </c>
      <c r="C4638">
        <v>11982896</v>
      </c>
      <c r="D4638">
        <v>44967</v>
      </c>
    </row>
    <row r="4639" spans="1:4" x14ac:dyDescent="0.25">
      <c r="A4639" t="str">
        <f>T("   401390")</f>
        <v xml:space="preserve">   401390</v>
      </c>
      <c r="B4639" t="str">
        <f>T("   Chambres à air, en caoutchouc (à l'excl. des chambres à air des types utilisés pour les voitures de tourisme, les voitures du type 'break', les voitures de course, les autobus, les camions et les bicyclettes)")</f>
        <v xml:space="preserve">   Chambres à air, en caoutchouc (à l'excl. des chambres à air des types utilisés pour les voitures de tourisme, les voitures du type 'break', les voitures de course, les autobus, les camions et les bicyclettes)</v>
      </c>
      <c r="C4639">
        <v>30485775</v>
      </c>
      <c r="D4639">
        <v>255314</v>
      </c>
    </row>
    <row r="4640" spans="1:4" x14ac:dyDescent="0.25">
      <c r="A4640" t="str">
        <f>T("   401410")</f>
        <v xml:space="preserve">   401410</v>
      </c>
      <c r="B4640" t="str">
        <f>T("   Préservatifs en caoutchouc vulcanisé non durci")</f>
        <v xml:space="preserve">   Préservatifs en caoutchouc vulcanisé non durci</v>
      </c>
      <c r="C4640">
        <v>190412471</v>
      </c>
      <c r="D4640">
        <v>12974</v>
      </c>
    </row>
    <row r="4641" spans="1:4" x14ac:dyDescent="0.25">
      <c r="A4641" t="str">
        <f>T("   401490")</f>
        <v xml:space="preserve">   401490</v>
      </c>
      <c r="B4641" t="str">
        <f>T("   ARTICLES D'HYGIÈNE OU DE PHARMACIE, Y.C. LES TÉTINES, EN CAOUTCHOUC VULCANISÉ NON-DURCI, MÊME AVEC PARTIES EN CAOUTCHOUC DURCI, N.D.A. (À L'EXCL. DES PRÉSERVATIFS AINSI QUE DES VÊTEMENTS ET ACCESSOIRES DU VÊTEMENT, Y.C. LES GANTS, POUR TOUS USAGES)")</f>
        <v xml:space="preserve">   ARTICLES D'HYGIÈNE OU DE PHARMACIE, Y.C. LES TÉTINES, EN CAOUTCHOUC VULCANISÉ NON-DURCI, MÊME AVEC PARTIES EN CAOUTCHOUC DURCI, N.D.A. (À L'EXCL. DES PRÉSERVATIFS AINSI QUE DES VÊTEMENTS ET ACCESSOIRES DU VÊTEMENT, Y.C. LES GANTS, POUR TOUS USAGES)</v>
      </c>
      <c r="C4641">
        <v>20296214</v>
      </c>
      <c r="D4641">
        <v>4407</v>
      </c>
    </row>
    <row r="4642" spans="1:4" x14ac:dyDescent="0.25">
      <c r="A4642" t="str">
        <f>T("   401511")</f>
        <v xml:space="preserve">   401511</v>
      </c>
      <c r="B4642" t="str">
        <f>T("   Gants en caoutchouc vulcanisé non durci, pour la chirurgie")</f>
        <v xml:space="preserve">   Gants en caoutchouc vulcanisé non durci, pour la chirurgie</v>
      </c>
      <c r="C4642">
        <v>28059752</v>
      </c>
      <c r="D4642">
        <v>3734.25</v>
      </c>
    </row>
    <row r="4643" spans="1:4" x14ac:dyDescent="0.25">
      <c r="A4643" t="str">
        <f>T("   401519")</f>
        <v xml:space="preserve">   401519</v>
      </c>
      <c r="B4643" t="str">
        <f>T("   GANTS, MITAINES ET MOUFLES, EN CAOUTCHOUC VULCANISÉ NON-DURCI (À L'EXCL. DES GANTS POUR LA CHIRURGIE)")</f>
        <v xml:space="preserve">   GANTS, MITAINES ET MOUFLES, EN CAOUTCHOUC VULCANISÉ NON-DURCI (À L'EXCL. DES GANTS POUR LA CHIRURGIE)</v>
      </c>
      <c r="C4643">
        <v>13972515</v>
      </c>
      <c r="D4643">
        <v>7421</v>
      </c>
    </row>
    <row r="4644" spans="1:4" x14ac:dyDescent="0.25">
      <c r="A4644" t="str">
        <f>T("   401590")</f>
        <v xml:space="preserve">   401590</v>
      </c>
      <c r="B4644" t="str">
        <f>T("   Vêtements et accessoires du vêtement en caoutchouc vulcanisé non durci, pour tous usages (à l'excl. des gants, mitaines et moufles, des chaussures ou des coiffures ainsi que des parties de chaussures ou de coiffures)")</f>
        <v xml:space="preserve">   Vêtements et accessoires du vêtement en caoutchouc vulcanisé non durci, pour tous usages (à l'excl. des gants, mitaines et moufles, des chaussures ou des coiffures ainsi que des parties de chaussures ou de coiffures)</v>
      </c>
      <c r="C4644">
        <v>3244378</v>
      </c>
      <c r="D4644">
        <v>182</v>
      </c>
    </row>
    <row r="4645" spans="1:4" x14ac:dyDescent="0.25">
      <c r="A4645" t="str">
        <f>T("   401691")</f>
        <v xml:space="preserve">   401691</v>
      </c>
      <c r="B4645" t="s">
        <v>159</v>
      </c>
      <c r="C4645">
        <v>3214972</v>
      </c>
      <c r="D4645">
        <v>321</v>
      </c>
    </row>
    <row r="4646" spans="1:4" x14ac:dyDescent="0.25">
      <c r="A4646" t="str">
        <f>T("   401692")</f>
        <v xml:space="preserve">   401692</v>
      </c>
      <c r="B4646" t="str">
        <f>T("   Gommes à effacer, en caoutchouc vulcanisé non durci, prêtes à l'emploi (à l'excl. des articles simplement découpés de forme carrée ou rectangulaire)")</f>
        <v xml:space="preserve">   Gommes à effacer, en caoutchouc vulcanisé non durci, prêtes à l'emploi (à l'excl. des articles simplement découpés de forme carrée ou rectangulaire)</v>
      </c>
      <c r="C4646">
        <v>2535175</v>
      </c>
      <c r="D4646">
        <v>3409</v>
      </c>
    </row>
    <row r="4647" spans="1:4" x14ac:dyDescent="0.25">
      <c r="A4647" t="str">
        <f>T("   401693")</f>
        <v xml:space="preserve">   401693</v>
      </c>
      <c r="B4647" t="str">
        <f>T("   Joints en caoutchouc vulcanisé non durci (à l'excl. des articles en caoutchouc alvéolaire)")</f>
        <v xml:space="preserve">   Joints en caoutchouc vulcanisé non durci (à l'excl. des articles en caoutchouc alvéolaire)</v>
      </c>
      <c r="C4647">
        <v>35118028</v>
      </c>
      <c r="D4647">
        <v>5208.5</v>
      </c>
    </row>
    <row r="4648" spans="1:4" x14ac:dyDescent="0.25">
      <c r="A4648" t="str">
        <f>T("   401699")</f>
        <v xml:space="preserve">   401699</v>
      </c>
      <c r="B4648" t="str">
        <f>T("   OUVRAGES EN CAOUTCHOUC VULCANISÉ NON-DURCI, N.D.A.")</f>
        <v xml:space="preserve">   OUVRAGES EN CAOUTCHOUC VULCANISÉ NON-DURCI, N.D.A.</v>
      </c>
      <c r="C4648">
        <v>18939680</v>
      </c>
      <c r="D4648">
        <v>6379</v>
      </c>
    </row>
    <row r="4649" spans="1:4" x14ac:dyDescent="0.25">
      <c r="A4649" t="str">
        <f>T("   411410")</f>
        <v xml:space="preserve">   411410</v>
      </c>
      <c r="B4649" t="str">
        <f>T("   CUIRS ET PEAUX CHAMOISÉS, Y.C. LE CHAMOIS COMBINÉ (À L'EXCL. DES CUIRS ET PEAUX PRÉALABLEMENT MÉGISSÉS PUIS TRAITÉS AU FORMOL AINSI QUE DES CUIRS ET PEAUX SIMPL. NOURRIS À L'HUILE APRÈS TANNAGE)")</f>
        <v xml:space="preserve">   CUIRS ET PEAUX CHAMOISÉS, Y.C. LE CHAMOIS COMBINÉ (À L'EXCL. DES CUIRS ET PEAUX PRÉALABLEMENT MÉGISSÉS PUIS TRAITÉS AU FORMOL AINSI QUE DES CUIRS ET PEAUX SIMPL. NOURRIS À L'HUILE APRÈS TANNAGE)</v>
      </c>
      <c r="C4649">
        <v>343068</v>
      </c>
      <c r="D4649">
        <v>89</v>
      </c>
    </row>
    <row r="4650" spans="1:4" x14ac:dyDescent="0.25">
      <c r="A4650" t="str">
        <f>T("   420100")</f>
        <v xml:space="preserve">   420100</v>
      </c>
      <c r="B4650" t="s">
        <v>161</v>
      </c>
      <c r="C4650">
        <v>8447455</v>
      </c>
      <c r="D4650">
        <v>744</v>
      </c>
    </row>
    <row r="4651" spans="1:4" x14ac:dyDescent="0.25">
      <c r="A4651" t="str">
        <f>T("   420211")</f>
        <v xml:space="preserve">   420211</v>
      </c>
      <c r="B4651" t="str">
        <f>T("   Malles, valises et mallettes, y.c. les mallettes de toilette et les mallettes porte-documents, serviettes, cartables et contenants simil., à surface extérieure en cuir naturel, en cuir reconstitué ou en cuir verni")</f>
        <v xml:space="preserve">   Malles, valises et mallettes, y.c. les mallettes de toilette et les mallettes porte-documents, serviettes, cartables et contenants simil., à surface extérieure en cuir naturel, en cuir reconstitué ou en cuir verni</v>
      </c>
      <c r="C4651">
        <v>100000</v>
      </c>
      <c r="D4651">
        <v>100</v>
      </c>
    </row>
    <row r="4652" spans="1:4" x14ac:dyDescent="0.25">
      <c r="A4652" t="str">
        <f>T("   420212")</f>
        <v xml:space="preserve">   420212</v>
      </c>
      <c r="B4652" t="str">
        <f>T("   Malles, valises et mallettes, y.c. les mallettes de toilette et les mallettes porte-documents, serviettes, cartables et contenants simil., à surface extérieure en matières plastiques ou en matières textiles")</f>
        <v xml:space="preserve">   Malles, valises et mallettes, y.c. les mallettes de toilette et les mallettes porte-documents, serviettes, cartables et contenants simil., à surface extérieure en matières plastiques ou en matières textiles</v>
      </c>
      <c r="C4652">
        <v>11076407</v>
      </c>
      <c r="D4652">
        <v>3063</v>
      </c>
    </row>
    <row r="4653" spans="1:4" x14ac:dyDescent="0.25">
      <c r="A4653" t="str">
        <f>T("   420219")</f>
        <v xml:space="preserve">   420219</v>
      </c>
      <c r="B4653" t="s">
        <v>162</v>
      </c>
      <c r="C4653">
        <v>14659070</v>
      </c>
      <c r="D4653">
        <v>6371.91</v>
      </c>
    </row>
    <row r="4654" spans="1:4" x14ac:dyDescent="0.25">
      <c r="A4654" t="str">
        <f>T("   420221")</f>
        <v xml:space="preserve">   420221</v>
      </c>
      <c r="B4654" t="str">
        <f>T("   Sacs à main, même à bandoulière, y.c. ceux sans poignée, à surface extérieure en cuir naturel, en cuir reconstitué ou en cuir verni")</f>
        <v xml:space="preserve">   Sacs à main, même à bandoulière, y.c. ceux sans poignée, à surface extérieure en cuir naturel, en cuir reconstitué ou en cuir verni</v>
      </c>
      <c r="C4654">
        <v>877759</v>
      </c>
      <c r="D4654">
        <v>503</v>
      </c>
    </row>
    <row r="4655" spans="1:4" x14ac:dyDescent="0.25">
      <c r="A4655" t="str">
        <f>T("   420229")</f>
        <v xml:space="preserve">   420229</v>
      </c>
      <c r="B4655"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4655">
        <v>3057119</v>
      </c>
      <c r="D4655">
        <v>1115</v>
      </c>
    </row>
    <row r="4656" spans="1:4" x14ac:dyDescent="0.25">
      <c r="A4656" t="str">
        <f>T("   420232")</f>
        <v xml:space="preserve">   420232</v>
      </c>
      <c r="B4656" t="str">
        <f>T("   Portefeuilles, porte-monnaie, étuis à clés ou à cigarettes, blagues à tabac et articles simil. de poche ou de sac à main, à surface extérieure en feuilles de matières plastiques ou en matières textiles")</f>
        <v xml:space="preserve">   Portefeuilles, porte-monnaie, étuis à clés ou à cigarettes, blagues à tabac et articles simil. de poche ou de sac à main, à surface extérieure en feuilles de matières plastiques ou en matières textiles</v>
      </c>
      <c r="C4656">
        <v>31241920</v>
      </c>
      <c r="D4656">
        <v>3669</v>
      </c>
    </row>
    <row r="4657" spans="1:4" x14ac:dyDescent="0.25">
      <c r="A4657" t="str">
        <f>T("   420239")</f>
        <v xml:space="preserve">   420239</v>
      </c>
      <c r="B4657" t="s">
        <v>163</v>
      </c>
      <c r="C4657">
        <v>357662</v>
      </c>
      <c r="D4657">
        <v>288</v>
      </c>
    </row>
    <row r="4658" spans="1:4" x14ac:dyDescent="0.25">
      <c r="A4658" t="str">
        <f>T("   420292")</f>
        <v xml:space="preserve">   420292</v>
      </c>
      <c r="B4658" t="s">
        <v>164</v>
      </c>
      <c r="C4658">
        <v>9543740</v>
      </c>
      <c r="D4658">
        <v>2065</v>
      </c>
    </row>
    <row r="4659" spans="1:4" x14ac:dyDescent="0.25">
      <c r="A4659" t="str">
        <f>T("   420299")</f>
        <v xml:space="preserve">   420299</v>
      </c>
      <c r="B4659" t="s">
        <v>165</v>
      </c>
      <c r="C4659">
        <v>16586811</v>
      </c>
      <c r="D4659">
        <v>6043.6</v>
      </c>
    </row>
    <row r="4660" spans="1:4" x14ac:dyDescent="0.25">
      <c r="A4660" t="str">
        <f>T("   420310")</f>
        <v xml:space="preserve">   420310</v>
      </c>
      <c r="B4660" t="str">
        <f>T("   Vêtements, en cuir naturel ou reconstitué (à l'excl. des accessoires du vêtement, des chaussures ou des coiffures et leurs parties ainsi que des articles du chapitre 95 [p.ex.les protège-tibias ou les masques d'escrime])")</f>
        <v xml:space="preserve">   Vêtements, en cuir naturel ou reconstitué (à l'excl. des accessoires du vêtement, des chaussures ou des coiffures et leurs parties ainsi que des articles du chapitre 95 [p.ex.les protège-tibias ou les masques d'escrime])</v>
      </c>
      <c r="C4660">
        <v>2751095</v>
      </c>
      <c r="D4660">
        <v>396</v>
      </c>
    </row>
    <row r="4661" spans="1:4" x14ac:dyDescent="0.25">
      <c r="A4661" t="str">
        <f>T("   420329")</f>
        <v xml:space="preserve">   420329</v>
      </c>
      <c r="B4661" t="str">
        <f>T("   Gants, mitaines et moufles, en cuir naturel ou reconstitué (à l'excl. des articles spécialement conçus pour la pratique des sports)")</f>
        <v xml:space="preserve">   Gants, mitaines et moufles, en cuir naturel ou reconstitué (à l'excl. des articles spécialement conçus pour la pratique des sports)</v>
      </c>
      <c r="C4661">
        <v>10038046</v>
      </c>
      <c r="D4661">
        <v>1280</v>
      </c>
    </row>
    <row r="4662" spans="1:4" x14ac:dyDescent="0.25">
      <c r="A4662" t="str">
        <f>T("   420330")</f>
        <v xml:space="preserve">   420330</v>
      </c>
      <c r="B4662" t="str">
        <f>T("   Ceintures, ceinturons et baudriers, en cuir naturel ou reconstitué")</f>
        <v xml:space="preserve">   Ceintures, ceinturons et baudriers, en cuir naturel ou reconstitué</v>
      </c>
      <c r="C4662">
        <v>80027</v>
      </c>
      <c r="D4662">
        <v>70</v>
      </c>
    </row>
    <row r="4663" spans="1:4" x14ac:dyDescent="0.25">
      <c r="A4663" t="str">
        <f>T("   420500")</f>
        <v xml:space="preserve">   420500</v>
      </c>
      <c r="B4663" t="s">
        <v>167</v>
      </c>
      <c r="C4663">
        <v>2317908</v>
      </c>
      <c r="D4663">
        <v>717</v>
      </c>
    </row>
    <row r="4664" spans="1:4" x14ac:dyDescent="0.25">
      <c r="A4664" t="str">
        <f>T("   440920")</f>
        <v xml:space="preserve">   440920</v>
      </c>
      <c r="B4664" t="s">
        <v>173</v>
      </c>
      <c r="C4664">
        <v>3066614</v>
      </c>
      <c r="D4664">
        <v>1800</v>
      </c>
    </row>
    <row r="4665" spans="1:4" x14ac:dyDescent="0.25">
      <c r="A4665" t="str">
        <f>T("   441090")</f>
        <v xml:space="preserve">   441090</v>
      </c>
      <c r="B4665" t="s">
        <v>175</v>
      </c>
      <c r="C4665">
        <v>15758783</v>
      </c>
      <c r="D4665">
        <v>650</v>
      </c>
    </row>
    <row r="4666" spans="1:4" x14ac:dyDescent="0.25">
      <c r="A4666" t="str">
        <f>T("   441219")</f>
        <v xml:space="preserve">   441219</v>
      </c>
      <c r="B4666" t="s">
        <v>183</v>
      </c>
      <c r="C4666">
        <v>680000</v>
      </c>
      <c r="D4666">
        <v>750</v>
      </c>
    </row>
    <row r="4667" spans="1:4" x14ac:dyDescent="0.25">
      <c r="A4667" t="str">
        <f>T("   441400")</f>
        <v xml:space="preserve">   441400</v>
      </c>
      <c r="B4667" t="str">
        <f>T("   Cadres en bois pour tableaux, photographies, miroirs ou objets simil.")</f>
        <v xml:space="preserve">   Cadres en bois pour tableaux, photographies, miroirs ou objets simil.</v>
      </c>
      <c r="C4667">
        <v>3543496</v>
      </c>
      <c r="D4667">
        <v>781</v>
      </c>
    </row>
    <row r="4668" spans="1:4" x14ac:dyDescent="0.25">
      <c r="A4668" t="str">
        <f>T("   441510")</f>
        <v xml:space="preserve">   441510</v>
      </c>
      <c r="B4668" t="str">
        <f>T("   Caisses, caissettes, cageots, cylindres et emballages simil., en bois; tambours [tourets] pour câbles, en bois")</f>
        <v xml:space="preserve">   Caisses, caissettes, cageots, cylindres et emballages simil., en bois; tambours [tourets] pour câbles, en bois</v>
      </c>
      <c r="C4668">
        <v>10089322</v>
      </c>
      <c r="D4668">
        <v>10552</v>
      </c>
    </row>
    <row r="4669" spans="1:4" x14ac:dyDescent="0.25">
      <c r="A4669" t="str">
        <f>T("   441700")</f>
        <v xml:space="preserve">   441700</v>
      </c>
      <c r="B4669" t="s">
        <v>187</v>
      </c>
      <c r="C4669">
        <v>1933770</v>
      </c>
      <c r="D4669">
        <v>579</v>
      </c>
    </row>
    <row r="4670" spans="1:4" x14ac:dyDescent="0.25">
      <c r="A4670" t="str">
        <f>T("   441810")</f>
        <v xml:space="preserve">   441810</v>
      </c>
      <c r="B4670" t="str">
        <f>T("   Fenêtres, portes-fenêtres et leurs cadres et chambranles, en bois")</f>
        <v xml:space="preserve">   Fenêtres, portes-fenêtres et leurs cadres et chambranles, en bois</v>
      </c>
      <c r="C4670">
        <v>87492</v>
      </c>
      <c r="D4670">
        <v>500</v>
      </c>
    </row>
    <row r="4671" spans="1:4" x14ac:dyDescent="0.25">
      <c r="A4671" t="str">
        <f>T("   441820")</f>
        <v xml:space="preserve">   441820</v>
      </c>
      <c r="B4671" t="str">
        <f>T("   Portes et leurs cadres, chambranles et seuils, en bois")</f>
        <v xml:space="preserve">   Portes et leurs cadres, chambranles et seuils, en bois</v>
      </c>
      <c r="C4671">
        <v>11523188</v>
      </c>
      <c r="D4671">
        <v>53431</v>
      </c>
    </row>
    <row r="4672" spans="1:4" x14ac:dyDescent="0.25">
      <c r="A4672" t="str">
        <f>T("   441890")</f>
        <v xml:space="preserve">   441890</v>
      </c>
      <c r="B4672" t="s">
        <v>188</v>
      </c>
      <c r="C4672">
        <v>8939459</v>
      </c>
      <c r="D4672">
        <v>20565</v>
      </c>
    </row>
    <row r="4673" spans="1:4" x14ac:dyDescent="0.25">
      <c r="A4673" t="str">
        <f>T("   441900")</f>
        <v xml:space="preserve">   441900</v>
      </c>
      <c r="B4673" t="s">
        <v>189</v>
      </c>
      <c r="C4673">
        <v>1802454</v>
      </c>
      <c r="D4673">
        <v>544</v>
      </c>
    </row>
    <row r="4674" spans="1:4" x14ac:dyDescent="0.25">
      <c r="A4674" t="str">
        <f>T("   442110")</f>
        <v xml:space="preserve">   442110</v>
      </c>
      <c r="B4674" t="str">
        <f>T("   Cintres pour vêtements, en bois")</f>
        <v xml:space="preserve">   Cintres pour vêtements, en bois</v>
      </c>
      <c r="C4674">
        <v>1511332</v>
      </c>
      <c r="D4674">
        <v>409</v>
      </c>
    </row>
    <row r="4675" spans="1:4" x14ac:dyDescent="0.25">
      <c r="A4675" t="str">
        <f>T("   442190")</f>
        <v xml:space="preserve">   442190</v>
      </c>
      <c r="B4675" t="str">
        <f>T("   Ouvrages, en bois, n.d.a.")</f>
        <v xml:space="preserve">   Ouvrages, en bois, n.d.a.</v>
      </c>
      <c r="C4675">
        <v>7588844</v>
      </c>
      <c r="D4675">
        <v>20701</v>
      </c>
    </row>
    <row r="4676" spans="1:4" x14ac:dyDescent="0.25">
      <c r="A4676" t="str">
        <f>T("   450410")</f>
        <v xml:space="preserve">   450410</v>
      </c>
      <c r="B4676" t="str">
        <f>T("   Cubes, briques, plaques, feuilles et bandes, en liège aggloméré; carreaux de toute forme, en liège aggloméré; cylindres pleins, y.c. les disques, en liège aggloméré")</f>
        <v xml:space="preserve">   Cubes, briques, plaques, feuilles et bandes, en liège aggloméré; carreaux de toute forme, en liège aggloméré; cylindres pleins, y.c. les disques, en liège aggloméré</v>
      </c>
      <c r="C4676">
        <v>524768</v>
      </c>
      <c r="D4676">
        <v>2070</v>
      </c>
    </row>
    <row r="4677" spans="1:4" x14ac:dyDescent="0.25">
      <c r="A4677" t="str">
        <f>T("   460210")</f>
        <v xml:space="preserve">   460210</v>
      </c>
      <c r="B4677" t="s">
        <v>191</v>
      </c>
      <c r="C4677">
        <v>11151</v>
      </c>
      <c r="D4677">
        <v>2</v>
      </c>
    </row>
    <row r="4678" spans="1:4" x14ac:dyDescent="0.25">
      <c r="A4678" t="str">
        <f>T("   460290")</f>
        <v xml:space="preserve">   460290</v>
      </c>
      <c r="B4678" t="s">
        <v>192</v>
      </c>
      <c r="C4678">
        <v>928183</v>
      </c>
      <c r="D4678">
        <v>286</v>
      </c>
    </row>
    <row r="4679" spans="1:4" x14ac:dyDescent="0.25">
      <c r="A4679" t="str">
        <f>T("   470429")</f>
        <v xml:space="preserve">   470429</v>
      </c>
      <c r="B4679" t="str">
        <f>T("   Pâtes chimiques de bois, au bisulfite, mi-blanchies ou blanchies (à l'excl. des pâtes à dissoudre et des pâtes de bois de conifères)")</f>
        <v xml:space="preserve">   Pâtes chimiques de bois, au bisulfite, mi-blanchies ou blanchies (à l'excl. des pâtes à dissoudre et des pâtes de bois de conifères)</v>
      </c>
      <c r="C4679">
        <v>853404</v>
      </c>
      <c r="D4679">
        <v>10</v>
      </c>
    </row>
    <row r="4680" spans="1:4" x14ac:dyDescent="0.25">
      <c r="A4680" t="str">
        <f>T("   480100")</f>
        <v xml:space="preserve">   480100</v>
      </c>
      <c r="B4680" t="str">
        <f>T("   Papier journal, en rouleaux d'une largeur &gt; 36 cm ou en feuilles de forme carrée ou rectangulaire dont au moins un coté &gt; 36 cm et l'autre &gt; 15 cm à l'état non plié")</f>
        <v xml:space="preserve">   Papier journal, en rouleaux d'une largeur &gt; 36 cm ou en feuilles de forme carrée ou rectangulaire dont au moins un coté &gt; 36 cm et l'autre &gt; 15 cm à l'état non plié</v>
      </c>
      <c r="C4680">
        <v>54122013</v>
      </c>
      <c r="D4680">
        <v>125656</v>
      </c>
    </row>
    <row r="4681" spans="1:4" x14ac:dyDescent="0.25">
      <c r="A4681" t="str">
        <f>T("   480210")</f>
        <v xml:space="preserve">   480210</v>
      </c>
      <c r="B4681" t="str">
        <f>T("   Papiers et cartons formés feuille à feuille [papiers à la main], de tout format et de toute forme")</f>
        <v xml:space="preserve">   Papiers et cartons formés feuille à feuille [papiers à la main], de tout format et de toute forme</v>
      </c>
      <c r="C4681">
        <v>180000</v>
      </c>
      <c r="D4681">
        <v>400</v>
      </c>
    </row>
    <row r="4682" spans="1:4" x14ac:dyDescent="0.25">
      <c r="A4682" t="str">
        <f>T("   480220")</f>
        <v xml:space="preserve">   480220</v>
      </c>
      <c r="B4682" t="str">
        <f>T("   Papiers et cartons supports pour papiers ou cartons photosensibles, sensibles à la chaleur ou électrosensibles, non couchés ni enduits, en rouleaux ou en feuilles de forme carrée ou rectangulaire, de tout format")</f>
        <v xml:space="preserve">   Papiers et cartons supports pour papiers ou cartons photosensibles, sensibles à la chaleur ou électrosensibles, non couchés ni enduits, en rouleaux ou en feuilles de forme carrée ou rectangulaire, de tout format</v>
      </c>
      <c r="C4682">
        <v>12133293</v>
      </c>
      <c r="D4682">
        <v>7530</v>
      </c>
    </row>
    <row r="4683" spans="1:4" x14ac:dyDescent="0.25">
      <c r="A4683" t="str">
        <f>T("   480255")</f>
        <v xml:space="preserve">   480255</v>
      </c>
      <c r="B4683" t="s">
        <v>193</v>
      </c>
      <c r="C4683">
        <v>64427952</v>
      </c>
      <c r="D4683">
        <v>111046</v>
      </c>
    </row>
    <row r="4684" spans="1:4" x14ac:dyDescent="0.25">
      <c r="A4684" t="str">
        <f>T("   480256")</f>
        <v xml:space="preserve">   480256</v>
      </c>
      <c r="B4684" t="s">
        <v>194</v>
      </c>
      <c r="C4684">
        <v>9509546</v>
      </c>
      <c r="D4684">
        <v>19088</v>
      </c>
    </row>
    <row r="4685" spans="1:4" x14ac:dyDescent="0.25">
      <c r="A4685" t="str">
        <f>T("   480257")</f>
        <v xml:space="preserve">   480257</v>
      </c>
      <c r="B4685" t="s">
        <v>195</v>
      </c>
      <c r="C4685">
        <v>71045000</v>
      </c>
      <c r="D4685">
        <v>103638.39999999999</v>
      </c>
    </row>
    <row r="4686" spans="1:4" x14ac:dyDescent="0.25">
      <c r="A4686" t="str">
        <f>T("   480258")</f>
        <v xml:space="preserve">   480258</v>
      </c>
      <c r="B4686" t="s">
        <v>196</v>
      </c>
      <c r="C4686">
        <v>38064010</v>
      </c>
      <c r="D4686">
        <v>65985</v>
      </c>
    </row>
    <row r="4687" spans="1:4" x14ac:dyDescent="0.25">
      <c r="A4687" t="str">
        <f>T("   480269")</f>
        <v xml:space="preserve">   480269</v>
      </c>
      <c r="B4687" t="s">
        <v>195</v>
      </c>
      <c r="C4687">
        <v>1516973</v>
      </c>
      <c r="D4687">
        <v>2011</v>
      </c>
    </row>
    <row r="4688" spans="1:4" x14ac:dyDescent="0.25">
      <c r="A4688" t="str">
        <f>T("   480300")</f>
        <v xml:space="preserve">   480300</v>
      </c>
      <c r="B4688" t="s">
        <v>198</v>
      </c>
      <c r="C4688">
        <v>2537253</v>
      </c>
      <c r="D4688">
        <v>826</v>
      </c>
    </row>
    <row r="4689" spans="1:4" x14ac:dyDescent="0.25">
      <c r="A4689" t="str">
        <f>T("   480421")</f>
        <v xml:space="preserve">   480421</v>
      </c>
      <c r="B4689" t="str">
        <f>T("   PAPIERS KRAFT POUR SACS DE GRANDE CONTENANCE, ÉCRUS, NON-COUCHÉS NI ENDUITS, EN ROULEAUX D'UNE LARGEUR &gt; 36 CM (À L'EXCL. DES ARTICLES DU N° 4802, 4803 OU 4808)")</f>
        <v xml:space="preserve">   PAPIERS KRAFT POUR SACS DE GRANDE CONTENANCE, ÉCRUS, NON-COUCHÉS NI ENDUITS, EN ROULEAUX D'UNE LARGEUR &gt; 36 CM (À L'EXCL. DES ARTICLES DU N° 4802, 4803 OU 4808)</v>
      </c>
      <c r="C4689">
        <v>33350973</v>
      </c>
      <c r="D4689">
        <v>69973</v>
      </c>
    </row>
    <row r="4690" spans="1:4" x14ac:dyDescent="0.25">
      <c r="A4690" t="str">
        <f>T("   480429")</f>
        <v xml:space="preserve">   480429</v>
      </c>
      <c r="B4690" t="str">
        <f>T("   PAPIERS KRAFT POUR SACS DE GRANDE CONTENANCE, NON-COUCHÉS NI ENDUITS, EN ROULEAUX D'UNE LARGEUR &gt; 36 CM (À L'EXCL. DES PAPIERS ÉCRUS AINSI QUE DES ARTICLES DU N° 4802, 4803 OU 4808)")</f>
        <v xml:space="preserve">   PAPIERS KRAFT POUR SACS DE GRANDE CONTENANCE, NON-COUCHÉS NI ENDUITS, EN ROULEAUX D'UNE LARGEUR &gt; 36 CM (À L'EXCL. DES PAPIERS ÉCRUS AINSI QUE DES ARTICLES DU N° 4802, 4803 OU 4808)</v>
      </c>
      <c r="C4690">
        <v>75697260</v>
      </c>
      <c r="D4690">
        <v>160424</v>
      </c>
    </row>
    <row r="4691" spans="1:4" x14ac:dyDescent="0.25">
      <c r="A4691" t="str">
        <f>T("   480431")</f>
        <v xml:space="preserve">   480431</v>
      </c>
      <c r="B4691" t="s">
        <v>199</v>
      </c>
      <c r="C4691">
        <v>13412775</v>
      </c>
      <c r="D4691">
        <v>25644</v>
      </c>
    </row>
    <row r="4692" spans="1:4" x14ac:dyDescent="0.25">
      <c r="A4692" t="str">
        <f>T("   480439")</f>
        <v xml:space="preserve">   480439</v>
      </c>
      <c r="B4692" t="s">
        <v>200</v>
      </c>
      <c r="C4692">
        <v>2018363</v>
      </c>
      <c r="D4692">
        <v>2457</v>
      </c>
    </row>
    <row r="4693" spans="1:4" x14ac:dyDescent="0.25">
      <c r="A4693" t="str">
        <f>T("   480459")</f>
        <v xml:space="preserve">   480459</v>
      </c>
      <c r="B4693" t="s">
        <v>202</v>
      </c>
      <c r="C4693">
        <v>108890</v>
      </c>
      <c r="D4693">
        <v>2018</v>
      </c>
    </row>
    <row r="4694" spans="1:4" x14ac:dyDescent="0.25">
      <c r="A4694" t="str">
        <f>T("   480530")</f>
        <v xml:space="preserve">   480530</v>
      </c>
      <c r="B4694" t="str">
        <f>T("   PAPIER SULFITE D'EMBALLAGE, NON-COUCHÉ NI ENDUIT, EN ROULEAUX D'UNE LARGEUR &gt; 36 CM OU EN FEUILLES DE FORME CARRÉE OU RECTANGULAIRE DONT AU MOINS UN CÔTÉ &gt; 36 CM ET L'AUTRE &gt; 15 CM À L'ÉTAT NON-PLIÉ")</f>
        <v xml:space="preserve">   PAPIER SULFITE D'EMBALLAGE, NON-COUCHÉ NI ENDUIT, EN ROULEAUX D'UNE LARGEUR &gt; 36 CM OU EN FEUILLES DE FORME CARRÉE OU RECTANGULAIRE DONT AU MOINS UN CÔTÉ &gt; 36 CM ET L'AUTRE &gt; 15 CM À L'ÉTAT NON-PLIÉ</v>
      </c>
      <c r="C4694">
        <v>4019723</v>
      </c>
      <c r="D4694">
        <v>1196</v>
      </c>
    </row>
    <row r="4695" spans="1:4" x14ac:dyDescent="0.25">
      <c r="A4695" t="str">
        <f>T("   480610")</f>
        <v xml:space="preserve">   480610</v>
      </c>
      <c r="B4695" t="str">
        <f>T("   Papiers et cartons sulfurisés [parchemin végétal], en rouleaux d'une largeur &gt; 36 cm ou en feuilles de forme carrée ou rectangulaire dont au moins un coté &gt; 36 cm et l'autre &gt; 15 cm à l'état non plié")</f>
        <v xml:space="preserve">   Papiers et cartons sulfurisés [parchemin végétal], en rouleaux d'une largeur &gt; 36 cm ou en feuilles de forme carrée ou rectangulaire dont au moins un coté &gt; 36 cm et l'autre &gt; 15 cm à l'état non plié</v>
      </c>
      <c r="C4695">
        <v>477001</v>
      </c>
      <c r="D4695">
        <v>288</v>
      </c>
    </row>
    <row r="4696" spans="1:4" x14ac:dyDescent="0.25">
      <c r="A4696" t="str">
        <f>T("   480630")</f>
        <v xml:space="preserve">   480630</v>
      </c>
      <c r="B4696" t="str">
        <f>T("   Papiers-calques, en rouleaux d'une largeur &gt; 36 cm ou en feuilles de forme carrée ou rectangulaire dont au moins un coté &gt; 36 cm et l'autre &gt; 15 cm à l'état non plié")</f>
        <v xml:space="preserve">   Papiers-calques, en rouleaux d'une largeur &gt; 36 cm ou en feuilles de forme carrée ou rectangulaire dont au moins un coté &gt; 36 cm et l'autre &gt; 15 cm à l'état non plié</v>
      </c>
      <c r="C4696">
        <v>1104518</v>
      </c>
      <c r="D4696">
        <v>500</v>
      </c>
    </row>
    <row r="4697" spans="1:4" x14ac:dyDescent="0.25">
      <c r="A4697" t="str">
        <f>T("   480890")</f>
        <v xml:space="preserve">   480890</v>
      </c>
      <c r="B4697" t="s">
        <v>205</v>
      </c>
      <c r="C4697">
        <v>4380036</v>
      </c>
      <c r="D4697">
        <v>1283</v>
      </c>
    </row>
    <row r="4698" spans="1:4" x14ac:dyDescent="0.25">
      <c r="A4698" t="str">
        <f>T("   480990")</f>
        <v xml:space="preserve">   480990</v>
      </c>
      <c r="B4698" t="s">
        <v>206</v>
      </c>
      <c r="C4698">
        <v>1628788</v>
      </c>
      <c r="D4698">
        <v>2985</v>
      </c>
    </row>
    <row r="4699" spans="1:4" x14ac:dyDescent="0.25">
      <c r="A4699" t="str">
        <f>T("   481013")</f>
        <v xml:space="preserve">   481013</v>
      </c>
      <c r="B4699" t="s">
        <v>208</v>
      </c>
      <c r="C4699">
        <v>1943912</v>
      </c>
      <c r="D4699">
        <v>3204</v>
      </c>
    </row>
    <row r="4700" spans="1:4" x14ac:dyDescent="0.25">
      <c r="A4700" t="str">
        <f>T("   481019")</f>
        <v xml:space="preserve">   481019</v>
      </c>
      <c r="B4700" t="s">
        <v>208</v>
      </c>
      <c r="C4700">
        <v>19092180</v>
      </c>
      <c r="D4700">
        <v>40722</v>
      </c>
    </row>
    <row r="4701" spans="1:4" x14ac:dyDescent="0.25">
      <c r="A4701" t="str">
        <f>T("   481029")</f>
        <v xml:space="preserve">   481029</v>
      </c>
      <c r="B4701" t="s">
        <v>209</v>
      </c>
      <c r="C4701">
        <v>43532444</v>
      </c>
      <c r="D4701">
        <v>69894</v>
      </c>
    </row>
    <row r="4702" spans="1:4" x14ac:dyDescent="0.25">
      <c r="A4702" t="str">
        <f>T("   481099")</f>
        <v xml:space="preserve">   481099</v>
      </c>
      <c r="B4702" t="s">
        <v>211</v>
      </c>
      <c r="C4702">
        <v>126600</v>
      </c>
      <c r="D4702">
        <v>3</v>
      </c>
    </row>
    <row r="4703" spans="1:4" x14ac:dyDescent="0.25">
      <c r="A4703" t="str">
        <f>T("   481110")</f>
        <v xml:space="preserve">   481110</v>
      </c>
      <c r="B4703" t="str">
        <f>T("   Papiers et cartons goudronnés, bitumés ou asphaltés, en rouleaux ou en feuilles de forme carrée ou rectangulaire, de tout format")</f>
        <v xml:space="preserve">   Papiers et cartons goudronnés, bitumés ou asphaltés, en rouleaux ou en feuilles de forme carrée ou rectangulaire, de tout format</v>
      </c>
      <c r="C4703">
        <v>45397588</v>
      </c>
      <c r="D4703">
        <v>107253</v>
      </c>
    </row>
    <row r="4704" spans="1:4" x14ac:dyDescent="0.25">
      <c r="A4704" t="str">
        <f>T("   481141")</f>
        <v xml:space="preserve">   481141</v>
      </c>
      <c r="B4704" t="str">
        <f>T("   Papiers et cartons, auto-adhésifs, coloriés en surface, décorés en surface ou imprimés, en rouleaux ou en feuilles de forme carrée ou rectangulaire, de tout format (à l'excl. des produits du n° 4810)")</f>
        <v xml:space="preserve">   Papiers et cartons, auto-adhésifs, coloriés en surface, décorés en surface ou imprimés, en rouleaux ou en feuilles de forme carrée ou rectangulaire, de tout format (à l'excl. des produits du n° 4810)</v>
      </c>
      <c r="C4704">
        <v>1726099</v>
      </c>
      <c r="D4704">
        <v>2640</v>
      </c>
    </row>
    <row r="4705" spans="1:4" x14ac:dyDescent="0.25">
      <c r="A4705" t="str">
        <f>T("   481159")</f>
        <v xml:space="preserve">   481159</v>
      </c>
      <c r="B4705" t="s">
        <v>212</v>
      </c>
      <c r="C4705">
        <v>777523</v>
      </c>
      <c r="D4705">
        <v>2860</v>
      </c>
    </row>
    <row r="4706" spans="1:4" x14ac:dyDescent="0.25">
      <c r="A4706" t="str">
        <f>T("   481160")</f>
        <v xml:space="preserve">   481160</v>
      </c>
      <c r="B4706" t="str">
        <f>T("   Papiers et cartons enduits, imprégnés ou recouverts de cire, de paraffine, de stéarine, d'huile ou de glycérol, en rouleaux ou en feuilles de forme carrée ou rectangulaire, de tout format (à l'excl. des produits du n° 4803, 4809 ou 4818)")</f>
        <v xml:space="preserve">   Papiers et cartons enduits, imprégnés ou recouverts de cire, de paraffine, de stéarine, d'huile ou de glycérol, en rouleaux ou en feuilles de forme carrée ou rectangulaire, de tout format (à l'excl. des produits du n° 4803, 4809 ou 4818)</v>
      </c>
      <c r="C4706">
        <v>7872</v>
      </c>
      <c r="D4706">
        <v>209</v>
      </c>
    </row>
    <row r="4707" spans="1:4" x14ac:dyDescent="0.25">
      <c r="A4707" t="str">
        <f>T("   481200")</f>
        <v xml:space="preserve">   481200</v>
      </c>
      <c r="B4707" t="str">
        <f>T("   Blocs filtrants et plaques filtrantes, en pâte à papier")</f>
        <v xml:space="preserve">   Blocs filtrants et plaques filtrantes, en pâte à papier</v>
      </c>
      <c r="C4707">
        <v>70076207</v>
      </c>
      <c r="D4707">
        <v>3375</v>
      </c>
    </row>
    <row r="4708" spans="1:4" x14ac:dyDescent="0.25">
      <c r="A4708" t="str">
        <f>T("   481490")</f>
        <v xml:space="preserve">   481490</v>
      </c>
      <c r="B4708" t="s">
        <v>213</v>
      </c>
      <c r="C4708">
        <v>320000</v>
      </c>
      <c r="D4708">
        <v>85</v>
      </c>
    </row>
    <row r="4709" spans="1:4" x14ac:dyDescent="0.25">
      <c r="A4709" t="str">
        <f>T("   481620")</f>
        <v xml:space="preserve">   481620</v>
      </c>
      <c r="B4709" t="s">
        <v>214</v>
      </c>
      <c r="C4709">
        <v>8184439</v>
      </c>
      <c r="D4709">
        <v>5806</v>
      </c>
    </row>
    <row r="4710" spans="1:4" x14ac:dyDescent="0.25">
      <c r="A4710" t="str">
        <f>T("   481690")</f>
        <v xml:space="preserve">   481690</v>
      </c>
      <c r="B4710" t="s">
        <v>215</v>
      </c>
      <c r="C4710">
        <v>1083822</v>
      </c>
      <c r="D4710">
        <v>307</v>
      </c>
    </row>
    <row r="4711" spans="1:4" x14ac:dyDescent="0.25">
      <c r="A4711" t="str">
        <f>T("   481710")</f>
        <v xml:space="preserve">   481710</v>
      </c>
      <c r="B4711" t="str">
        <f>T("   Enveloppes, en papier ou en carton")</f>
        <v xml:space="preserve">   Enveloppes, en papier ou en carton</v>
      </c>
      <c r="C4711">
        <v>104047556</v>
      </c>
      <c r="D4711">
        <v>201993.44</v>
      </c>
    </row>
    <row r="4712" spans="1:4" x14ac:dyDescent="0.25">
      <c r="A4712" t="str">
        <f>T("   481730")</f>
        <v xml:space="preserve">   481730</v>
      </c>
      <c r="B4712" t="str">
        <f>T("   Boîtes, pochettes et présentations simil., en papier ou en carton, renfermant un assortiment d'articles de correspondance")</f>
        <v xml:space="preserve">   Boîtes, pochettes et présentations simil., en papier ou en carton, renfermant un assortiment d'articles de correspondance</v>
      </c>
      <c r="C4712">
        <v>3785794</v>
      </c>
      <c r="D4712">
        <v>4880.5600000000004</v>
      </c>
    </row>
    <row r="4713" spans="1:4" x14ac:dyDescent="0.25">
      <c r="A4713" t="str">
        <f>T("   481810")</f>
        <v xml:space="preserve">   481810</v>
      </c>
      <c r="B4713" t="str">
        <f>T("   Papier hygiénique, en rouleaux d'une largeur &lt;= 36 cm")</f>
        <v xml:space="preserve">   Papier hygiénique, en rouleaux d'une largeur &lt;= 36 cm</v>
      </c>
      <c r="C4713">
        <v>24741043</v>
      </c>
      <c r="D4713">
        <v>13895</v>
      </c>
    </row>
    <row r="4714" spans="1:4" x14ac:dyDescent="0.25">
      <c r="A4714" t="str">
        <f>T("   481820")</f>
        <v xml:space="preserve">   481820</v>
      </c>
      <c r="B4714" t="str">
        <f>T("   Mouchoirs, serviettes à démaquiller et essuie-mains, en pâte à papier, papier, ouate de cellulose ou nappes de fibres de cellulose")</f>
        <v xml:space="preserve">   Mouchoirs, serviettes à démaquiller et essuie-mains, en pâte à papier, papier, ouate de cellulose ou nappes de fibres de cellulose</v>
      </c>
      <c r="C4714">
        <v>50905230</v>
      </c>
      <c r="D4714">
        <v>33940</v>
      </c>
    </row>
    <row r="4715" spans="1:4" x14ac:dyDescent="0.25">
      <c r="A4715" t="str">
        <f>T("   481830")</f>
        <v xml:space="preserve">   481830</v>
      </c>
      <c r="B4715" t="str">
        <f>T("   Nappes et serviettes de table, en pâte à papier, papier, ouate de cellulose ou nappes de fibres de cellulose")</f>
        <v xml:space="preserve">   Nappes et serviettes de table, en pâte à papier, papier, ouate de cellulose ou nappes de fibres de cellulose</v>
      </c>
      <c r="C4715">
        <v>9146944</v>
      </c>
      <c r="D4715">
        <v>7933</v>
      </c>
    </row>
    <row r="4716" spans="1:4" x14ac:dyDescent="0.25">
      <c r="A4716" t="str">
        <f>T("   481840")</f>
        <v xml:space="preserve">   481840</v>
      </c>
      <c r="B4716"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4716">
        <v>75931454</v>
      </c>
      <c r="D4716">
        <v>38796</v>
      </c>
    </row>
    <row r="4717" spans="1:4" x14ac:dyDescent="0.25">
      <c r="A4717" t="str">
        <f>T("   481850")</f>
        <v xml:space="preserve">   481850</v>
      </c>
      <c r="B4717" t="s">
        <v>216</v>
      </c>
      <c r="C4717">
        <v>13775</v>
      </c>
      <c r="D4717">
        <v>1</v>
      </c>
    </row>
    <row r="4718" spans="1:4" x14ac:dyDescent="0.25">
      <c r="A4718" t="str">
        <f>T("   481890")</f>
        <v xml:space="preserve">   481890</v>
      </c>
      <c r="B4718" t="s">
        <v>217</v>
      </c>
      <c r="C4718">
        <v>8220366</v>
      </c>
      <c r="D4718">
        <v>10244</v>
      </c>
    </row>
    <row r="4719" spans="1:4" x14ac:dyDescent="0.25">
      <c r="A4719" t="str">
        <f>T("   481920")</f>
        <v xml:space="preserve">   481920</v>
      </c>
      <c r="B4719" t="str">
        <f>T("   Boîtes et cartonnages, pliants, en papier ou en carton non ondulé")</f>
        <v xml:space="preserve">   Boîtes et cartonnages, pliants, en papier ou en carton non ondulé</v>
      </c>
      <c r="C4719">
        <v>31653823</v>
      </c>
      <c r="D4719">
        <v>29874</v>
      </c>
    </row>
    <row r="4720" spans="1:4" x14ac:dyDescent="0.25">
      <c r="A4720" t="str">
        <f>T("   481930")</f>
        <v xml:space="preserve">   481930</v>
      </c>
      <c r="B4720" t="str">
        <f>T("   Sacs, en papier, carton, ouate de cellulose ou nappes de fibres de cellulose, d'une largeur à la base &gt;= 40 cm")</f>
        <v xml:space="preserve">   Sacs, en papier, carton, ouate de cellulose ou nappes de fibres de cellulose, d'une largeur à la base &gt;= 40 cm</v>
      </c>
      <c r="C4720">
        <v>1364</v>
      </c>
      <c r="D4720">
        <v>8</v>
      </c>
    </row>
    <row r="4721" spans="1:4" x14ac:dyDescent="0.25">
      <c r="A4721" t="str">
        <f>T("   481940")</f>
        <v xml:space="preserve">   481940</v>
      </c>
      <c r="B4721" t="str">
        <f>T("   Sacs, sachets, pochettes et cornets, en papier, carton, ouate de cellulose ou nappes de fibres de cellulose (à l'excl. des pochettes pour disques et des sacs d'une largeur à la base &gt;= 40 cm)")</f>
        <v xml:space="preserve">   Sacs, sachets, pochettes et cornets, en papier, carton, ouate de cellulose ou nappes de fibres de cellulose (à l'excl. des pochettes pour disques et des sacs d'une largeur à la base &gt;= 40 cm)</v>
      </c>
      <c r="C4721">
        <v>19691096</v>
      </c>
      <c r="D4721">
        <v>19749</v>
      </c>
    </row>
    <row r="4722" spans="1:4" x14ac:dyDescent="0.25">
      <c r="A4722" t="str">
        <f>T("   481950")</f>
        <v xml:space="preserve">   481950</v>
      </c>
      <c r="B4722" t="s">
        <v>218</v>
      </c>
      <c r="C4722">
        <v>8897873</v>
      </c>
      <c r="D4722">
        <v>16330</v>
      </c>
    </row>
    <row r="4723" spans="1:4" x14ac:dyDescent="0.25">
      <c r="A4723" t="str">
        <f>T("   481960")</f>
        <v xml:space="preserve">   481960</v>
      </c>
      <c r="B4723" t="str">
        <f>T("   Cartonnages de bureau, de magasin ou simil., rigides (à l'excl. des emballages)")</f>
        <v xml:space="preserve">   Cartonnages de bureau, de magasin ou simil., rigides (à l'excl. des emballages)</v>
      </c>
      <c r="C4723">
        <v>185637</v>
      </c>
      <c r="D4723">
        <v>98</v>
      </c>
    </row>
    <row r="4724" spans="1:4" x14ac:dyDescent="0.25">
      <c r="A4724" t="str">
        <f>T("   482010")</f>
        <v xml:space="preserve">   482010</v>
      </c>
      <c r="B4724" t="str">
        <f>T("   Registres, livres comptables, carnets de notes, de commandes ou de quittances, blocs-mémorandums, blocs de papier à lettres, agendas et ouvrages simil., en papier ou carton")</f>
        <v xml:space="preserve">   Registres, livres comptables, carnets de notes, de commandes ou de quittances, blocs-mémorandums, blocs de papier à lettres, agendas et ouvrages simil., en papier ou carton</v>
      </c>
      <c r="C4724">
        <v>89792126</v>
      </c>
      <c r="D4724">
        <v>50963</v>
      </c>
    </row>
    <row r="4725" spans="1:4" x14ac:dyDescent="0.25">
      <c r="A4725" t="str">
        <f>T("   482020")</f>
        <v xml:space="preserve">   482020</v>
      </c>
      <c r="B4725" t="str">
        <f>T("   Cahiers pour l'écriture, en papier ou carton")</f>
        <v xml:space="preserve">   Cahiers pour l'écriture, en papier ou carton</v>
      </c>
      <c r="C4725">
        <v>61943255</v>
      </c>
      <c r="D4725">
        <v>106476</v>
      </c>
    </row>
    <row r="4726" spans="1:4" x14ac:dyDescent="0.25">
      <c r="A4726" t="str">
        <f>T("   482030")</f>
        <v xml:space="preserve">   482030</v>
      </c>
      <c r="B4726" t="str">
        <f>T("   Classeurs, reliures (autres que les couvertures pour livres), chemises et couvertures à dossiers, en papier ou en carton")</f>
        <v xml:space="preserve">   Classeurs, reliures (autres que les couvertures pour livres), chemises et couvertures à dossiers, en papier ou en carton</v>
      </c>
      <c r="C4726">
        <v>55284779</v>
      </c>
      <c r="D4726">
        <v>39642</v>
      </c>
    </row>
    <row r="4727" spans="1:4" x14ac:dyDescent="0.25">
      <c r="A4727" t="str">
        <f>T("   482040")</f>
        <v xml:space="preserve">   482040</v>
      </c>
      <c r="B4727" t="str">
        <f>T("   Liasses et carnets manifold, même comportant des feuilles de papier carbone, en papier ou carton")</f>
        <v xml:space="preserve">   Liasses et carnets manifold, même comportant des feuilles de papier carbone, en papier ou carton</v>
      </c>
      <c r="C4727">
        <v>9194664</v>
      </c>
      <c r="D4727">
        <v>10198</v>
      </c>
    </row>
    <row r="4728" spans="1:4" x14ac:dyDescent="0.25">
      <c r="A4728" t="str">
        <f>T("   482090")</f>
        <v xml:space="preserve">   482090</v>
      </c>
      <c r="B4728" t="s">
        <v>219</v>
      </c>
      <c r="C4728">
        <v>17798322</v>
      </c>
      <c r="D4728">
        <v>9901</v>
      </c>
    </row>
    <row r="4729" spans="1:4" x14ac:dyDescent="0.25">
      <c r="A4729" t="str">
        <f>T("   482110")</f>
        <v xml:space="preserve">   482110</v>
      </c>
      <c r="B4729" t="str">
        <f>T("   ÉTIQUETTES DE TOUS GENRES, EN PAPIER OU EN CARTON, IMPRIMÉES")</f>
        <v xml:space="preserve">   ÉTIQUETTES DE TOUS GENRES, EN PAPIER OU EN CARTON, IMPRIMÉES</v>
      </c>
      <c r="C4729">
        <v>1035617320</v>
      </c>
      <c r="D4729">
        <v>198381</v>
      </c>
    </row>
    <row r="4730" spans="1:4" x14ac:dyDescent="0.25">
      <c r="A4730" t="str">
        <f>T("   482190")</f>
        <v xml:space="preserve">   482190</v>
      </c>
      <c r="B4730" t="str">
        <f>T("   ÉTIQUETTES DE TOUS GENRES, EN PAPIER OU EN CARTON, NON-IMPRIMÉES")</f>
        <v xml:space="preserve">   ÉTIQUETTES DE TOUS GENRES, EN PAPIER OU EN CARTON, NON-IMPRIMÉES</v>
      </c>
      <c r="C4730">
        <v>37259324</v>
      </c>
      <c r="D4730">
        <v>12473</v>
      </c>
    </row>
    <row r="4731" spans="1:4" x14ac:dyDescent="0.25">
      <c r="A4731" t="str">
        <f>T("   482320")</f>
        <v xml:space="preserve">   482320</v>
      </c>
      <c r="B4731" t="str">
        <f>T("   Papier et carton-filtre, en bandes ou en rouleaux d'une largeur &lt;= 36 cm ou en feuilles de forme carrée ou rectangulaire dont aucun côté &gt; 36 cm à l'état non plié, ou découpés de forme autre que carrée ou rectangulaire")</f>
        <v xml:space="preserve">   Papier et carton-filtre, en bandes ou en rouleaux d'une largeur &lt;= 36 cm ou en feuilles de forme carrée ou rectangulaire dont aucun côté &gt; 36 cm à l'état non plié, ou découpés de forme autre que carrée ou rectangulaire</v>
      </c>
      <c r="C4731">
        <v>4322120</v>
      </c>
      <c r="D4731">
        <v>143</v>
      </c>
    </row>
    <row r="4732" spans="1:4" x14ac:dyDescent="0.25">
      <c r="A4732" t="str">
        <f>T("   482340")</f>
        <v xml:space="preserve">   482340</v>
      </c>
      <c r="B4732" t="str">
        <f>T("   Papiers à diagrammes pour appareils enregistreurs, en bobines d'une largeur &lt;= 36 cm ou en feuilles de forme carrée ou rectangulaire dont aucun côté &gt; 36 cm à l'état non plié, ou découpés en disques")</f>
        <v xml:space="preserve">   Papiers à diagrammes pour appareils enregistreurs, en bobines d'une largeur &lt;= 36 cm ou en feuilles de forme carrée ou rectangulaire dont aucun côté &gt; 36 cm à l'état non plié, ou découpés en disques</v>
      </c>
      <c r="C4732">
        <v>9537639</v>
      </c>
      <c r="D4732">
        <v>5449</v>
      </c>
    </row>
    <row r="4733" spans="1:4" x14ac:dyDescent="0.25">
      <c r="A4733" t="str">
        <f>T("   482360")</f>
        <v xml:space="preserve">   482360</v>
      </c>
      <c r="B4733" t="str">
        <f>T("   Plateaux, plats, assiettes, tasses, gobelets et articles simil., en papier ou en carton")</f>
        <v xml:space="preserve">   Plateaux, plats, assiettes, tasses, gobelets et articles simil., en papier ou en carton</v>
      </c>
      <c r="C4733">
        <v>1200000</v>
      </c>
      <c r="D4733">
        <v>192</v>
      </c>
    </row>
    <row r="4734" spans="1:4" x14ac:dyDescent="0.25">
      <c r="A4734" t="str">
        <f>T("   482370")</f>
        <v xml:space="preserve">   482370</v>
      </c>
      <c r="B4734" t="str">
        <f>T("   Articles moulés ou pressés en pâte à papier, n.d.a.")</f>
        <v xml:space="preserve">   Articles moulés ou pressés en pâte à papier, n.d.a.</v>
      </c>
      <c r="C4734">
        <v>11033909</v>
      </c>
      <c r="D4734">
        <v>23063</v>
      </c>
    </row>
    <row r="4735" spans="1:4" x14ac:dyDescent="0.25">
      <c r="A4735" t="str">
        <f>T("   482390")</f>
        <v xml:space="preserve">   482390</v>
      </c>
      <c r="B4735" t="s">
        <v>220</v>
      </c>
      <c r="C4735">
        <v>3766595</v>
      </c>
      <c r="D4735">
        <v>3732</v>
      </c>
    </row>
    <row r="4736" spans="1:4" x14ac:dyDescent="0.25">
      <c r="A4736" t="str">
        <f>T("   490110")</f>
        <v xml:space="preserve">   490110</v>
      </c>
      <c r="B4736" t="str">
        <f>T("   Livres, brochures et imprimés simil., en feuillets isolés, même pliés (à l'excl. des publications périodiques et des publications à usages principalement publicitaires)")</f>
        <v xml:space="preserve">   Livres, brochures et imprimés simil., en feuillets isolés, même pliés (à l'excl. des publications périodiques et des publications à usages principalement publicitaires)</v>
      </c>
      <c r="C4736">
        <v>73558947</v>
      </c>
      <c r="D4736">
        <v>33754.620000000003</v>
      </c>
    </row>
    <row r="4737" spans="1:4" x14ac:dyDescent="0.25">
      <c r="A4737" t="str">
        <f>T("   490191")</f>
        <v xml:space="preserve">   490191</v>
      </c>
      <c r="B4737" t="str">
        <f>T("   Dictionnaires et encyclopédies, même en fascicules")</f>
        <v xml:space="preserve">   Dictionnaires et encyclopédies, même en fascicules</v>
      </c>
      <c r="C4737">
        <v>37178499</v>
      </c>
      <c r="D4737">
        <v>61079</v>
      </c>
    </row>
    <row r="4738" spans="1:4" x14ac:dyDescent="0.25">
      <c r="A4738" t="str">
        <f>T("   490199")</f>
        <v xml:space="preserve">   490199</v>
      </c>
      <c r="B4738"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4738">
        <v>765574283</v>
      </c>
      <c r="D4738">
        <v>167601.04</v>
      </c>
    </row>
    <row r="4739" spans="1:4" x14ac:dyDescent="0.25">
      <c r="A4739" t="str">
        <f>T("   490210")</f>
        <v xml:space="preserve">   490210</v>
      </c>
      <c r="B4739" t="str">
        <f>T("   Journaux et publications périodiques imprimés, même illustrés ou contenant de la publicité, paraissant au moins quatre fois par semaine")</f>
        <v xml:space="preserve">   Journaux et publications périodiques imprimés, même illustrés ou contenant de la publicité, paraissant au moins quatre fois par semaine</v>
      </c>
      <c r="C4739">
        <v>35293930</v>
      </c>
      <c r="D4739">
        <v>22543</v>
      </c>
    </row>
    <row r="4740" spans="1:4" x14ac:dyDescent="0.25">
      <c r="A4740" t="str">
        <f>T("   490290")</f>
        <v xml:space="preserve">   490290</v>
      </c>
      <c r="B4740" t="str">
        <f>T("   Journaux et publications périodiques imprimés, même illustrés ou contenant de la publicité (à l'excl. des journaux et publications paraissant au moins quatre fois par semaine)")</f>
        <v xml:space="preserve">   Journaux et publications périodiques imprimés, même illustrés ou contenant de la publicité (à l'excl. des journaux et publications paraissant au moins quatre fois par semaine)</v>
      </c>
      <c r="C4740">
        <v>11466834</v>
      </c>
      <c r="D4740">
        <v>8228</v>
      </c>
    </row>
    <row r="4741" spans="1:4" x14ac:dyDescent="0.25">
      <c r="A4741" t="str">
        <f>T("   490300")</f>
        <v xml:space="preserve">   490300</v>
      </c>
      <c r="B4741" t="str">
        <f>T("   Albums ou livres d'images et albums à dessiner ou à colorier, pour enfants")</f>
        <v xml:space="preserve">   Albums ou livres d'images et albums à dessiner ou à colorier, pour enfants</v>
      </c>
      <c r="C4741">
        <v>44605</v>
      </c>
      <c r="D4741">
        <v>8</v>
      </c>
    </row>
    <row r="4742" spans="1:4" x14ac:dyDescent="0.25">
      <c r="A4742" t="str">
        <f>T("   490400")</f>
        <v xml:space="preserve">   490400</v>
      </c>
      <c r="B4742" t="str">
        <f>T("   Musique manuscrite ou imprimée, illustrée ou non, même reliée")</f>
        <v xml:space="preserve">   Musique manuscrite ou imprimée, illustrée ou non, même reliée</v>
      </c>
      <c r="C4742">
        <v>99654</v>
      </c>
      <c r="D4742">
        <v>85</v>
      </c>
    </row>
    <row r="4743" spans="1:4" x14ac:dyDescent="0.25">
      <c r="A4743" t="str">
        <f>T("   490591")</f>
        <v xml:space="preserve">   490591</v>
      </c>
      <c r="B4743" t="str">
        <f>T("   Ouvrages cartographiques de tous genres, y.c. les plans topographiques, imprimés, sous forme de livres ou de brochures (à l'excl. des globes ainsi que des cartes et plans en relief)")</f>
        <v xml:space="preserve">   Ouvrages cartographiques de tous genres, y.c. les plans topographiques, imprimés, sous forme de livres ou de brochures (à l'excl. des globes ainsi que des cartes et plans en relief)</v>
      </c>
      <c r="C4743">
        <v>135091</v>
      </c>
      <c r="D4743">
        <v>185</v>
      </c>
    </row>
    <row r="4744" spans="1:4" x14ac:dyDescent="0.25">
      <c r="A4744" t="str">
        <f>T("   490599")</f>
        <v xml:space="preserve">   490599</v>
      </c>
      <c r="B4744" t="str">
        <f>T("   Ouvrages cartographiques de tous genres, y.c. les cartes murales et les plans topographiques, imprimés (à l'excl. des cartes et plans en relief, des globes ainsi que des ouvrages cartographiques sous forme de livres ou de brochures)")</f>
        <v xml:space="preserve">   Ouvrages cartographiques de tous genres, y.c. les cartes murales et les plans topographiques, imprimés (à l'excl. des cartes et plans en relief, des globes ainsi que des ouvrages cartographiques sous forme de livres ou de brochures)</v>
      </c>
      <c r="C4744">
        <v>1628837</v>
      </c>
      <c r="D4744">
        <v>3013</v>
      </c>
    </row>
    <row r="4745" spans="1:4" x14ac:dyDescent="0.25">
      <c r="A4745" t="str">
        <f>T("   490700")</f>
        <v xml:space="preserve">   490700</v>
      </c>
      <c r="B4745" t="s">
        <v>221</v>
      </c>
      <c r="C4745">
        <v>55724711</v>
      </c>
      <c r="D4745">
        <v>20050</v>
      </c>
    </row>
    <row r="4746" spans="1:4" x14ac:dyDescent="0.25">
      <c r="A4746" t="str">
        <f>T("   490890")</f>
        <v xml:space="preserve">   490890</v>
      </c>
      <c r="B4746" t="str">
        <f>T("   Décalcomanies de tous genres (à l'excl. des articles vitrifiables)")</f>
        <v xml:space="preserve">   Décalcomanies de tous genres (à l'excl. des articles vitrifiables)</v>
      </c>
      <c r="C4746">
        <v>52477</v>
      </c>
      <c r="D4746">
        <v>18</v>
      </c>
    </row>
    <row r="4747" spans="1:4" x14ac:dyDescent="0.25">
      <c r="A4747" t="str">
        <f>T("   490900")</f>
        <v xml:space="preserve">   490900</v>
      </c>
      <c r="B4747" t="str">
        <f>T("   Cartes postales imprimées ou illustrées; cartes imprimées comportant des voeux ou des messages personnels, même illustrées, avec ou sans enveloppes, garnitures ou applications")</f>
        <v xml:space="preserve">   Cartes postales imprimées ou illustrées; cartes imprimées comportant des voeux ou des messages personnels, même illustrées, avec ou sans enveloppes, garnitures ou applications</v>
      </c>
      <c r="C4747">
        <v>2144042</v>
      </c>
      <c r="D4747">
        <v>502</v>
      </c>
    </row>
    <row r="4748" spans="1:4" x14ac:dyDescent="0.25">
      <c r="A4748" t="str">
        <f>T("   491000")</f>
        <v xml:space="preserve">   491000</v>
      </c>
      <c r="B4748" t="str">
        <f>T("   Calendriers de tous genres, imprimés, y.c. les blocs de calendriers à effeuiller")</f>
        <v xml:space="preserve">   Calendriers de tous genres, imprimés, y.c. les blocs de calendriers à effeuiller</v>
      </c>
      <c r="C4748">
        <v>34352027</v>
      </c>
      <c r="D4748">
        <v>34649.01</v>
      </c>
    </row>
    <row r="4749" spans="1:4" x14ac:dyDescent="0.25">
      <c r="A4749" t="str">
        <f>T("   491110")</f>
        <v xml:space="preserve">   491110</v>
      </c>
      <c r="B4749" t="str">
        <f>T("   Imprimés publicitaires, catalogues commerciaux et simil.")</f>
        <v xml:space="preserve">   Imprimés publicitaires, catalogues commerciaux et simil.</v>
      </c>
      <c r="C4749">
        <v>25251992</v>
      </c>
      <c r="D4749">
        <v>15130.5</v>
      </c>
    </row>
    <row r="4750" spans="1:4" x14ac:dyDescent="0.25">
      <c r="A4750" t="str">
        <f>T("   491191")</f>
        <v xml:space="preserve">   491191</v>
      </c>
      <c r="B4750" t="str">
        <f>T("   Images, gravures et photographies, n.d.a.")</f>
        <v xml:space="preserve">   Images, gravures et photographies, n.d.a.</v>
      </c>
      <c r="C4750">
        <v>2776423</v>
      </c>
      <c r="D4750">
        <v>555</v>
      </c>
    </row>
    <row r="4751" spans="1:4" x14ac:dyDescent="0.25">
      <c r="A4751" t="str">
        <f>T("   491199")</f>
        <v xml:space="preserve">   491199</v>
      </c>
      <c r="B4751" t="str">
        <f>T("   Imprimés, n.d.a.")</f>
        <v xml:space="preserve">   Imprimés, n.d.a.</v>
      </c>
      <c r="C4751">
        <v>62025414</v>
      </c>
      <c r="D4751">
        <v>16781.5</v>
      </c>
    </row>
    <row r="4752" spans="1:4" x14ac:dyDescent="0.25">
      <c r="A4752" t="str">
        <f>T("   511219")</f>
        <v xml:space="preserve">   511219</v>
      </c>
      <c r="B4752" t="str">
        <f>T("   Tissus de laine peignée ou de poils fins peignés, contenant &gt;= 85% en poids de laine ou de poils fins, d'un poids &gt; 200 g/m²")</f>
        <v xml:space="preserve">   Tissus de laine peignée ou de poils fins peignés, contenant &gt;= 85% en poids de laine ou de poils fins, d'un poids &gt; 200 g/m²</v>
      </c>
      <c r="C4752">
        <v>1927866</v>
      </c>
      <c r="D4752">
        <v>534</v>
      </c>
    </row>
    <row r="4753" spans="1:4" x14ac:dyDescent="0.25">
      <c r="A4753" t="str">
        <f>T("   520100")</f>
        <v xml:space="preserve">   520100</v>
      </c>
      <c r="B4753" t="str">
        <f>T("   COTON, NON-CARDÉ NI PEIGNÉ")</f>
        <v xml:space="preserve">   COTON, NON-CARDÉ NI PEIGNÉ</v>
      </c>
      <c r="C4753">
        <v>29518</v>
      </c>
      <c r="D4753">
        <v>100</v>
      </c>
    </row>
    <row r="4754" spans="1:4" x14ac:dyDescent="0.25">
      <c r="A4754" t="str">
        <f>T("   520839")</f>
        <v xml:space="preserve">   520839</v>
      </c>
      <c r="B4754" t="str">
        <f>T("   Tissus de coton, teints, contenant &gt;= 85% en poids de coton, d'un poids &lt;= 200 g/m² (à l'excl. des tissus à armure toile ou à armure sergé [y.c. le croisé] d'un rapport d'armure &lt;= 4)")</f>
        <v xml:space="preserve">   Tissus de coton, teints, contenant &gt;= 85% en poids de coton, d'un poids &lt;= 200 g/m² (à l'excl. des tissus à armure toile ou à armure sergé [y.c. le croisé] d'un rapport d'armure &lt;= 4)</v>
      </c>
      <c r="C4754">
        <v>8250009</v>
      </c>
      <c r="D4754">
        <v>2285</v>
      </c>
    </row>
    <row r="4755" spans="1:4" x14ac:dyDescent="0.25">
      <c r="A4755" t="str">
        <f>T("   520852")</f>
        <v xml:space="preserve">   520852</v>
      </c>
      <c r="B4755" t="str">
        <f>T("   Tissus de coton, imprimés, à armure toile, contenant &gt;= 85% en poids de coton, d'un poids &gt; 100 g/m² mais &lt;= 200 g/m²")</f>
        <v xml:space="preserve">   Tissus de coton, imprimés, à armure toile, contenant &gt;= 85% en poids de coton, d'un poids &gt; 100 g/m² mais &lt;= 200 g/m²</v>
      </c>
      <c r="C4755">
        <v>85568616</v>
      </c>
      <c r="D4755">
        <v>94840</v>
      </c>
    </row>
    <row r="4756" spans="1:4" x14ac:dyDescent="0.25">
      <c r="A4756" t="str">
        <f>T("   520949")</f>
        <v xml:space="preserve">   520949</v>
      </c>
      <c r="B4756" t="str">
        <f>T("   Tissus de coton, en fils de diverses couleurs, contenant &gt;= 85% en poids de coton, d'un poids &gt; 200 g/m² (à l'excl. des tissus dits 'denim' ainsi que des tissus à armure toile ou à armure sergé [y.c. le croisé] d'un rapport d'armure &lt;= 4)")</f>
        <v xml:space="preserve">   Tissus de coton, en fils de diverses couleurs, contenant &gt;= 85% en poids de coton, d'un poids &gt; 200 g/m² (à l'excl. des tissus dits 'denim' ainsi que des tissus à armure toile ou à armure sergé [y.c. le croisé] d'un rapport d'armure &lt;= 4)</v>
      </c>
      <c r="C4756">
        <v>3259990</v>
      </c>
      <c r="D4756">
        <v>600</v>
      </c>
    </row>
    <row r="4757" spans="1:4" x14ac:dyDescent="0.25">
      <c r="A4757" t="str">
        <f>T("   521019")</f>
        <v xml:space="preserve">   521019</v>
      </c>
      <c r="B4757" t="s">
        <v>222</v>
      </c>
      <c r="C4757">
        <v>345691</v>
      </c>
      <c r="D4757">
        <v>82</v>
      </c>
    </row>
    <row r="4758" spans="1:4" x14ac:dyDescent="0.25">
      <c r="A4758" t="str">
        <f>T("   521119")</f>
        <v xml:space="preserve">   521119</v>
      </c>
      <c r="B4758" t="s">
        <v>224</v>
      </c>
      <c r="C4758">
        <v>50000</v>
      </c>
      <c r="D4758">
        <v>79</v>
      </c>
    </row>
    <row r="4759" spans="1:4" x14ac:dyDescent="0.25">
      <c r="A4759" t="str">
        <f>T("   521211")</f>
        <v xml:space="preserve">   521211</v>
      </c>
      <c r="B4759" t="str">
        <f>T("   Tissus de coton, écrus, contenant en prédominance, mais &lt; 85% en poids de coton, autres que mélangés principalement ou uniquement avec des fibres synthétiques ou artificielles, d'un poids &lt;= 200 g/m²")</f>
        <v xml:space="preserve">   Tissus de coton, écrus, contenant en prédominance, mais &lt; 85% en poids de coton, autres que mélangés principalement ou uniquement avec des fibres synthétiques ou artificielles, d'un poids &lt;= 200 g/m²</v>
      </c>
      <c r="C4759">
        <v>1913357</v>
      </c>
      <c r="D4759">
        <v>316</v>
      </c>
    </row>
    <row r="4760" spans="1:4" x14ac:dyDescent="0.25">
      <c r="A4760" t="str">
        <f>T("   530410")</f>
        <v xml:space="preserve">   530410</v>
      </c>
      <c r="B4760" t="str">
        <f>T("   Sisal et autres fibres textiles du genre 'Agave', bruts")</f>
        <v xml:space="preserve">   Sisal et autres fibres textiles du genre 'Agave', bruts</v>
      </c>
      <c r="C4760">
        <v>28325117</v>
      </c>
      <c r="D4760">
        <v>44800</v>
      </c>
    </row>
    <row r="4761" spans="1:4" x14ac:dyDescent="0.25">
      <c r="A4761" t="str">
        <f>T("   530820")</f>
        <v xml:space="preserve">   530820</v>
      </c>
      <c r="B4761" t="str">
        <f>T("   Fils de chanvre")</f>
        <v xml:space="preserve">   Fils de chanvre</v>
      </c>
      <c r="C4761">
        <v>444085</v>
      </c>
      <c r="D4761">
        <v>153</v>
      </c>
    </row>
    <row r="4762" spans="1:4" x14ac:dyDescent="0.25">
      <c r="A4762" t="str">
        <f>T("   531090")</f>
        <v xml:space="preserve">   531090</v>
      </c>
      <c r="B4762" t="str">
        <f>T("   Tissus de jute ou d'autres fibres textiles libériennes du n° 5303, blanchis, teints, en fils de diverses couleurs ou imprimés")</f>
        <v xml:space="preserve">   Tissus de jute ou d'autres fibres textiles libériennes du n° 5303, blanchis, teints, en fils de diverses couleurs ou imprimés</v>
      </c>
      <c r="C4762">
        <v>590364</v>
      </c>
      <c r="D4762">
        <v>158</v>
      </c>
    </row>
    <row r="4763" spans="1:4" x14ac:dyDescent="0.25">
      <c r="A4763" t="str">
        <f>T("   540120")</f>
        <v xml:space="preserve">   540120</v>
      </c>
      <c r="B4763" t="str">
        <f>T("   Fils à coudre de filaments artificiels, même conditionnés pour la vente au détail")</f>
        <v xml:space="preserve">   Fils à coudre de filaments artificiels, même conditionnés pour la vente au détail</v>
      </c>
      <c r="C4763">
        <v>13800271</v>
      </c>
      <c r="D4763">
        <v>8181</v>
      </c>
    </row>
    <row r="4764" spans="1:4" x14ac:dyDescent="0.25">
      <c r="A4764" t="str">
        <f>T("   551519")</f>
        <v xml:space="preserve">   551519</v>
      </c>
      <c r="B4764" t="s">
        <v>239</v>
      </c>
      <c r="C4764">
        <v>4263739</v>
      </c>
      <c r="D4764">
        <v>1181</v>
      </c>
    </row>
    <row r="4765" spans="1:4" x14ac:dyDescent="0.25">
      <c r="A4765" t="str">
        <f>T("   551599")</f>
        <v xml:space="preserve">   551599</v>
      </c>
      <c r="B4765" t="s">
        <v>243</v>
      </c>
      <c r="C4765">
        <v>116626</v>
      </c>
      <c r="D4765">
        <v>81</v>
      </c>
    </row>
    <row r="4766" spans="1:4" x14ac:dyDescent="0.25">
      <c r="A4766" t="str">
        <f>T("   560110")</f>
        <v xml:space="preserve">   560110</v>
      </c>
      <c r="B4766" t="str">
        <f>T("   Serviettes et tampons hygiéniques, couches pour bébés et articles hygiéniques simil., en ouates")</f>
        <v xml:space="preserve">   Serviettes et tampons hygiéniques, couches pour bébés et articles hygiéniques simil., en ouates</v>
      </c>
      <c r="C4766">
        <v>3571530</v>
      </c>
      <c r="D4766">
        <v>1645</v>
      </c>
    </row>
    <row r="4767" spans="1:4" x14ac:dyDescent="0.25">
      <c r="A4767" t="str">
        <f>T("   560121")</f>
        <v xml:space="preserve">   560121</v>
      </c>
      <c r="B4767" t="s">
        <v>244</v>
      </c>
      <c r="C4767">
        <v>22847692</v>
      </c>
      <c r="D4767">
        <v>11819</v>
      </c>
    </row>
    <row r="4768" spans="1:4" x14ac:dyDescent="0.25">
      <c r="A4768" t="str">
        <f>T("   560210")</f>
        <v xml:space="preserve">   560210</v>
      </c>
      <c r="B4768" t="str">
        <f>T("   Feutres aiguilletés et produits cousus-tricotés, même imprégnés, enduits, recouverts ou stratifiés, n.d.a.")</f>
        <v xml:space="preserve">   Feutres aiguilletés et produits cousus-tricotés, même imprégnés, enduits, recouverts ou stratifiés, n.d.a.</v>
      </c>
      <c r="C4768">
        <v>21411847</v>
      </c>
      <c r="D4768">
        <v>1375</v>
      </c>
    </row>
    <row r="4769" spans="1:4" x14ac:dyDescent="0.25">
      <c r="A4769" t="str">
        <f>T("   560290")</f>
        <v xml:space="preserve">   560290</v>
      </c>
      <c r="B4769" t="str">
        <f>T("   Feutres, imprégnés, enduits, recouverts ou stratifiés (à l'excl. des feutres aiguilletés et des produits cousus-tricotés)")</f>
        <v xml:space="preserve">   Feutres, imprégnés, enduits, recouverts ou stratifiés (à l'excl. des feutres aiguilletés et des produits cousus-tricotés)</v>
      </c>
      <c r="C4769">
        <v>15908998</v>
      </c>
      <c r="D4769">
        <v>17408</v>
      </c>
    </row>
    <row r="4770" spans="1:4" x14ac:dyDescent="0.25">
      <c r="A4770" t="str">
        <f>T("   560311")</f>
        <v xml:space="preserve">   560311</v>
      </c>
      <c r="B4770" t="str">
        <f>T("   Nontissés, même imprégnés, enduits, recouverts ou stratifiés, n.d.a., de filaments synthétiques ou artificiels, d'un poids &lt;= 25 g/m²")</f>
        <v xml:space="preserve">   Nontissés, même imprégnés, enduits, recouverts ou stratifiés, n.d.a., de filaments synthétiques ou artificiels, d'un poids &lt;= 25 g/m²</v>
      </c>
      <c r="C4770">
        <v>1176136</v>
      </c>
      <c r="D4770">
        <v>560</v>
      </c>
    </row>
    <row r="4771" spans="1:4" x14ac:dyDescent="0.25">
      <c r="A4771" t="str">
        <f>T("   560314")</f>
        <v xml:space="preserve">   560314</v>
      </c>
      <c r="B4771" t="str">
        <f>T("   Nontissés, même imprégnés, enduits, recouverts ou stratifiés, n.d.a., de filaments synthétiques ou artificiels, d'un poids &gt; 150 g/m²")</f>
        <v xml:space="preserve">   Nontissés, même imprégnés, enduits, recouverts ou stratifiés, n.d.a., de filaments synthétiques ou artificiels, d'un poids &gt; 150 g/m²</v>
      </c>
      <c r="C4771">
        <v>6720310</v>
      </c>
      <c r="D4771">
        <v>530</v>
      </c>
    </row>
    <row r="4772" spans="1:4" x14ac:dyDescent="0.25">
      <c r="A4772" t="str">
        <f>T("   560392")</f>
        <v xml:space="preserve">   560392</v>
      </c>
      <c r="B4772" t="str">
        <f>T("   Nontissés, même imprégnés, enduits, recouverts ou stratifiés, n.d.a., d'un poids &gt; 25 g/m² mais &lt;= 70 g/m² (à l'excl. de filaments synthétiques ou artificiels)")</f>
        <v xml:space="preserve">   Nontissés, même imprégnés, enduits, recouverts ou stratifiés, n.d.a., d'un poids &gt; 25 g/m² mais &lt;= 70 g/m² (à l'excl. de filaments synthétiques ou artificiels)</v>
      </c>
      <c r="C4772">
        <v>66252</v>
      </c>
      <c r="D4772">
        <v>19</v>
      </c>
    </row>
    <row r="4773" spans="1:4" x14ac:dyDescent="0.25">
      <c r="A4773" t="str">
        <f>T("   560410")</f>
        <v xml:space="preserve">   560410</v>
      </c>
      <c r="B4773" t="str">
        <f>T("   Fils et cordes de caoutchouc, recouverts de textiles")</f>
        <v xml:space="preserve">   Fils et cordes de caoutchouc, recouverts de textiles</v>
      </c>
      <c r="C4773">
        <v>70843</v>
      </c>
      <c r="D4773">
        <v>21</v>
      </c>
    </row>
    <row r="4774" spans="1:4" x14ac:dyDescent="0.25">
      <c r="A4774" t="str">
        <f>T("   560721")</f>
        <v xml:space="preserve">   560721</v>
      </c>
      <c r="B4774" t="str">
        <f>T("   Ficelles lieuses ou botteleuses, de sisal ou d'autres fibres textiles du genre 'Agave'")</f>
        <v xml:space="preserve">   Ficelles lieuses ou botteleuses, de sisal ou d'autres fibres textiles du genre 'Agave'</v>
      </c>
      <c r="C4774">
        <v>61660</v>
      </c>
      <c r="D4774">
        <v>6</v>
      </c>
    </row>
    <row r="4775" spans="1:4" x14ac:dyDescent="0.25">
      <c r="A4775" t="str">
        <f>T("   560729")</f>
        <v xml:space="preserve">   560729</v>
      </c>
      <c r="B4775" t="str">
        <f>T("   Ficelles, cordes et cordages, de sisal ou d'autres fibres textiles du genre 'Agave', tressés ou non, même imprégnés, enduits, recouverts ou gainés de caoutchouc ou de matière plastique (à l'excl. des ficelles lieuses ou botteleuses)")</f>
        <v xml:space="preserve">   Ficelles, cordes et cordages, de sisal ou d'autres fibres textiles du genre 'Agave', tressés ou non, même imprégnés, enduits, recouverts ou gainés de caoutchouc ou de matière plastique (à l'excl. des ficelles lieuses ou botteleuses)</v>
      </c>
      <c r="C4775">
        <v>25000</v>
      </c>
      <c r="D4775">
        <v>250</v>
      </c>
    </row>
    <row r="4776" spans="1:4" x14ac:dyDescent="0.25">
      <c r="A4776" t="str">
        <f>T("   560790")</f>
        <v xml:space="preserve">   560790</v>
      </c>
      <c r="B4776" t="str">
        <f>T("   FICELLES, CORDES ET CORDAGES, TRESSÉS OU NON, MÊME IMPRÉGNÉS, ENDUITS, RECOUVERTS OU GAINÉS DE CAOUTCHOUC OU DE MATIÈRE PLASTIQUE (À L'EXCL. DES PRODUITS DE FIBRES SYNTHÉTIQUES AINSI QUE DE SISAL OU D'AUTRES FIBRES TEXTILES DU GENRE 'AGAVE')")</f>
        <v xml:space="preserve">   FICELLES, CORDES ET CORDAGES, TRESSÉS OU NON, MÊME IMPRÉGNÉS, ENDUITS, RECOUVERTS OU GAINÉS DE CAOUTCHOUC OU DE MATIÈRE PLASTIQUE (À L'EXCL. DES PRODUITS DE FIBRES SYNTHÉTIQUES AINSI QUE DE SISAL OU D'AUTRES FIBRES TEXTILES DU GENRE 'AGAVE')</v>
      </c>
      <c r="C4776">
        <v>2682444</v>
      </c>
      <c r="D4776">
        <v>1143</v>
      </c>
    </row>
    <row r="4777" spans="1:4" x14ac:dyDescent="0.25">
      <c r="A4777" t="str">
        <f>T("   560890")</f>
        <v xml:space="preserve">   560890</v>
      </c>
      <c r="B4777" t="s">
        <v>247</v>
      </c>
      <c r="C4777">
        <v>1500180</v>
      </c>
      <c r="D4777">
        <v>1815</v>
      </c>
    </row>
    <row r="4778" spans="1:4" x14ac:dyDescent="0.25">
      <c r="A4778" t="str">
        <f>T("   560900")</f>
        <v xml:space="preserve">   560900</v>
      </c>
      <c r="B4778" t="str">
        <f>T("   Articles en fils, lames ou formes simil. du n° 5404 ou 5405, ficelles, cordes ou cordages du n° 5607, n.d.a.")</f>
        <v xml:space="preserve">   Articles en fils, lames ou formes simil. du n° 5404 ou 5405, ficelles, cordes ou cordages du n° 5607, n.d.a.</v>
      </c>
      <c r="C4778">
        <v>5855755</v>
      </c>
      <c r="D4778">
        <v>994</v>
      </c>
    </row>
    <row r="4779" spans="1:4" x14ac:dyDescent="0.25">
      <c r="A4779" t="str">
        <f>T("   570110")</f>
        <v xml:space="preserve">   570110</v>
      </c>
      <c r="B4779" t="str">
        <f>T("   Tapis de laine ou de poils fins, à points noués ou enroulés, même confectionnés")</f>
        <v xml:space="preserve">   Tapis de laine ou de poils fins, à points noués ou enroulés, même confectionnés</v>
      </c>
      <c r="C4779">
        <v>500497</v>
      </c>
      <c r="D4779">
        <v>484</v>
      </c>
    </row>
    <row r="4780" spans="1:4" x14ac:dyDescent="0.25">
      <c r="A4780" t="str">
        <f>T("   570220")</f>
        <v xml:space="preserve">   570220</v>
      </c>
      <c r="B4780" t="str">
        <f>T("   Revêtements de sol en coco, tissés, même confectionnés")</f>
        <v xml:space="preserve">   Revêtements de sol en coco, tissés, même confectionnés</v>
      </c>
      <c r="C4780">
        <v>6699975</v>
      </c>
      <c r="D4780">
        <v>3342</v>
      </c>
    </row>
    <row r="4781" spans="1:4" x14ac:dyDescent="0.25">
      <c r="A4781" t="str">
        <f>T("   570299")</f>
        <v xml:space="preserve">   570299</v>
      </c>
      <c r="B4781" t="s">
        <v>252</v>
      </c>
      <c r="C4781">
        <v>541824</v>
      </c>
      <c r="D4781">
        <v>349</v>
      </c>
    </row>
    <row r="4782" spans="1:4" x14ac:dyDescent="0.25">
      <c r="A4782" t="str">
        <f>T("   570320")</f>
        <v xml:space="preserve">   570320</v>
      </c>
      <c r="B4782" t="str">
        <f>T("   Tapis et autres revêtements de sol, de nylon ou d'autres polyamides, touffetés, même confectionnés")</f>
        <v xml:space="preserve">   Tapis et autres revêtements de sol, de nylon ou d'autres polyamides, touffetés, même confectionnés</v>
      </c>
      <c r="C4782">
        <v>829133</v>
      </c>
      <c r="D4782">
        <v>272</v>
      </c>
    </row>
    <row r="4783" spans="1:4" x14ac:dyDescent="0.25">
      <c r="A4783" t="str">
        <f>T("   570330")</f>
        <v xml:space="preserve">   570330</v>
      </c>
      <c r="B4783" t="str">
        <f>T("   Tapis et autres revêtements de sol, de matières textiles synthétiques ou artificielles, touffetés, même confectionnés (à l'excl. des articles en nylon ou en autres polyamides)")</f>
        <v xml:space="preserve">   Tapis et autres revêtements de sol, de matières textiles synthétiques ou artificielles, touffetés, même confectionnés (à l'excl. des articles en nylon ou en autres polyamides)</v>
      </c>
      <c r="C4783">
        <v>5532367</v>
      </c>
      <c r="D4783">
        <v>807</v>
      </c>
    </row>
    <row r="4784" spans="1:4" x14ac:dyDescent="0.25">
      <c r="A4784" t="str">
        <f>T("   570390")</f>
        <v xml:space="preserve">   570390</v>
      </c>
      <c r="B4784" t="str">
        <f>T("   Tapis et autres revêtements de sol, de matières textiles végétales ou de poils grossiers, touffetés, même confectionnés")</f>
        <v xml:space="preserve">   Tapis et autres revêtements de sol, de matières textiles végétales ou de poils grossiers, touffetés, même confectionnés</v>
      </c>
      <c r="C4784">
        <v>510337</v>
      </c>
      <c r="D4784">
        <v>147</v>
      </c>
    </row>
    <row r="4785" spans="1:4" x14ac:dyDescent="0.25">
      <c r="A4785" t="str">
        <f>T("   570500")</f>
        <v xml:space="preserve">   570500</v>
      </c>
      <c r="B4785" t="str">
        <f>T("   Tapis et autres revêtements de sol en matières textiles, même confectionnés (à l'excl. à points noués ou enroulés, tissés, touffetés ou en feutre)")</f>
        <v xml:space="preserve">   Tapis et autres revêtements de sol en matières textiles, même confectionnés (à l'excl. à points noués ou enroulés, tissés, touffetés ou en feutre)</v>
      </c>
      <c r="C4785">
        <v>5963760</v>
      </c>
      <c r="D4785">
        <v>8300</v>
      </c>
    </row>
    <row r="4786" spans="1:4" x14ac:dyDescent="0.25">
      <c r="A4786" t="str">
        <f>T("   580410")</f>
        <v xml:space="preserve">   580410</v>
      </c>
      <c r="B4786" t="str">
        <f>T("   Tulles, tulles-bobinots et tissus à mailles nouées")</f>
        <v xml:space="preserve">   Tulles, tulles-bobinots et tissus à mailles nouées</v>
      </c>
      <c r="C4786">
        <v>271567</v>
      </c>
      <c r="D4786">
        <v>41</v>
      </c>
    </row>
    <row r="4787" spans="1:4" x14ac:dyDescent="0.25">
      <c r="A4787" t="str">
        <f>T("   580429")</f>
        <v xml:space="preserve">   580429</v>
      </c>
      <c r="B4787" t="str">
        <f>T("   Dentelles à la mécanique, en pièces, en bandes ou en motifs (à l'excl. des articles de fibres synthétiques ou artificielles ainsi que des produits du n° 6002 à 6006)")</f>
        <v xml:space="preserve">   Dentelles à la mécanique, en pièces, en bandes ou en motifs (à l'excl. des articles de fibres synthétiques ou artificielles ainsi que des produits du n° 6002 à 6006)</v>
      </c>
      <c r="C4787">
        <v>814000</v>
      </c>
      <c r="D4787">
        <v>814</v>
      </c>
    </row>
    <row r="4788" spans="1:4" x14ac:dyDescent="0.25">
      <c r="A4788" t="str">
        <f>T("   580639")</f>
        <v xml:space="preserve">   580639</v>
      </c>
      <c r="B4788" t="str">
        <f>T("   Rubanerie, tissée, en matières textiles, n.d.a. (à l'excl. des articles de coton ou de fibres synthétiques ou artificielles)")</f>
        <v xml:space="preserve">   Rubanerie, tissée, en matières textiles, n.d.a. (à l'excl. des articles de coton ou de fibres synthétiques ou artificielles)</v>
      </c>
      <c r="C4788">
        <v>1576928</v>
      </c>
      <c r="D4788">
        <v>182</v>
      </c>
    </row>
    <row r="4789" spans="1:4" x14ac:dyDescent="0.25">
      <c r="A4789" t="str">
        <f>T("   580640")</f>
        <v xml:space="preserve">   580640</v>
      </c>
      <c r="B4789" t="str">
        <f>T("   Rubans sans trame, en fils ou fibres parallélisés et encollés [bolducs]")</f>
        <v xml:space="preserve">   Rubans sans trame, en fils ou fibres parallélisés et encollés [bolducs]</v>
      </c>
      <c r="C4789">
        <v>4436260</v>
      </c>
      <c r="D4789">
        <v>747</v>
      </c>
    </row>
    <row r="4790" spans="1:4" x14ac:dyDescent="0.25">
      <c r="A4790" t="str">
        <f>T("   580890")</f>
        <v xml:space="preserve">   580890</v>
      </c>
      <c r="B4790" t="s">
        <v>255</v>
      </c>
      <c r="C4790">
        <v>249921</v>
      </c>
      <c r="D4790">
        <v>7</v>
      </c>
    </row>
    <row r="4791" spans="1:4" x14ac:dyDescent="0.25">
      <c r="A4791" t="str">
        <f>T("   581010")</f>
        <v xml:space="preserve">   581010</v>
      </c>
      <c r="B4791" t="str">
        <f>T("   Broderies chimiques ou aériennes, sur support de matières textiles, et broderies à fond découpé, en pièces, en bandes ou en motifs")</f>
        <v xml:space="preserve">   Broderies chimiques ou aériennes, sur support de matières textiles, et broderies à fond découpé, en pièces, en bandes ou en motifs</v>
      </c>
      <c r="C4791">
        <v>191000</v>
      </c>
      <c r="D4791">
        <v>136</v>
      </c>
    </row>
    <row r="4792" spans="1:4" x14ac:dyDescent="0.25">
      <c r="A4792" t="str">
        <f>T("   581092")</f>
        <v xml:space="preserve">   581092</v>
      </c>
      <c r="B4792" t="str">
        <f>T("   Broderies de fibres synthétiques ou artificielles, sur support de matières textiles, en pièces, en bandes ou en motifs (à l'excl. des broderies chimiques ou aériennes ainsi que des broderies à fond découpé)")</f>
        <v xml:space="preserve">   Broderies de fibres synthétiques ou artificielles, sur support de matières textiles, en pièces, en bandes ou en motifs (à l'excl. des broderies chimiques ou aériennes ainsi que des broderies à fond découpé)</v>
      </c>
      <c r="C4792">
        <v>1039041</v>
      </c>
      <c r="D4792">
        <v>30</v>
      </c>
    </row>
    <row r="4793" spans="1:4" x14ac:dyDescent="0.25">
      <c r="A4793" t="str">
        <f>T("   590110")</f>
        <v xml:space="preserve">   590110</v>
      </c>
      <c r="B4793" t="str">
        <f>T("   Tissus enduits de colle ou de matières amylacées, des types utilisés pour la reliure, le cartonnage, la gainerie ou usages simil.")</f>
        <v xml:space="preserve">   Tissus enduits de colle ou de matières amylacées, des types utilisés pour la reliure, le cartonnage, la gainerie ou usages simil.</v>
      </c>
      <c r="C4793">
        <v>2742863</v>
      </c>
      <c r="D4793">
        <v>6100</v>
      </c>
    </row>
    <row r="4794" spans="1:4" x14ac:dyDescent="0.25">
      <c r="A4794" t="str">
        <f>T("   590190")</f>
        <v xml:space="preserve">   590190</v>
      </c>
      <c r="B4794" t="str">
        <f>T("   Toiles à calquer ou transparentes pour le dessin; toiles préparées pour la peinture; bougran et tissus simil. raidis des types utilisés pour la chapellerie (à l'excl. des tissus enduits de matière plastique)")</f>
        <v xml:space="preserve">   Toiles à calquer ou transparentes pour le dessin; toiles préparées pour la peinture; bougran et tissus simil. raidis des types utilisés pour la chapellerie (à l'excl. des tissus enduits de matière plastique)</v>
      </c>
      <c r="C4794">
        <v>1379417</v>
      </c>
      <c r="D4794">
        <v>334</v>
      </c>
    </row>
    <row r="4795" spans="1:4" x14ac:dyDescent="0.25">
      <c r="A4795" t="str">
        <f>T("   590610")</f>
        <v xml:space="preserve">   590610</v>
      </c>
      <c r="B4795" t="str">
        <f>T("   Rubans adhésifs en tissus caoutchoutés, d'une largeur &lt;= 20 cm (à l'excl. des rubans adhésifs imprégnés ou recouverts de substances pharmaceutiques ou conditionnés pour la vente au détail à des fins médicales, chirurgicales, dentaires ou vétérinaires)")</f>
        <v xml:space="preserve">   Rubans adhésifs en tissus caoutchoutés, d'une largeur &lt;= 20 cm (à l'excl. des rubans adhésifs imprégnés ou recouverts de substances pharmaceutiques ou conditionnés pour la vente au détail à des fins médicales, chirurgicales, dentaires ou vétérinaires)</v>
      </c>
      <c r="C4795">
        <v>809130</v>
      </c>
      <c r="D4795">
        <v>531</v>
      </c>
    </row>
    <row r="4796" spans="1:4" x14ac:dyDescent="0.25">
      <c r="A4796" t="str">
        <f>T("   590900")</f>
        <v xml:space="preserve">   590900</v>
      </c>
      <c r="B4796" t="str">
        <f>T("   Tuyaux pour pompes et tuyaux simil., en matières textiles, même imprégnés ou enduits, même avec armatures ou accessoires en autres matières")</f>
        <v xml:space="preserve">   Tuyaux pour pompes et tuyaux simil., en matières textiles, même imprégnés ou enduits, même avec armatures ou accessoires en autres matières</v>
      </c>
      <c r="C4796">
        <v>1290928</v>
      </c>
      <c r="D4796">
        <v>614</v>
      </c>
    </row>
    <row r="4797" spans="1:4" x14ac:dyDescent="0.25">
      <c r="A4797" t="str">
        <f>T("   591110")</f>
        <v xml:space="preserve">   591110</v>
      </c>
      <c r="B4797" t="s">
        <v>257</v>
      </c>
      <c r="C4797">
        <v>9815846</v>
      </c>
      <c r="D4797">
        <v>14300</v>
      </c>
    </row>
    <row r="4798" spans="1:4" x14ac:dyDescent="0.25">
      <c r="A4798" t="str">
        <f>T("   591132")</f>
        <v xml:space="preserve">   591132</v>
      </c>
      <c r="B4798" t="str">
        <f>T("   TISSUS ET FEUTRES SANS FIN OU MUNIS DE MOYENS DE JONCTION, DES TYPES UTILISÉS SUR LES MACHINES À PAPIER OU SUR DES MACHINES SIMIL. [À PÂTE, À AMIANTE-CIMENT, P.EX.], D'UN POIDS &gt;= 650 G/M²")</f>
        <v xml:space="preserve">   TISSUS ET FEUTRES SANS FIN OU MUNIS DE MOYENS DE JONCTION, DES TYPES UTILISÉS SUR LES MACHINES À PAPIER OU SUR DES MACHINES SIMIL. [À PÂTE, À AMIANTE-CIMENT, P.EX.], D'UN POIDS &gt;= 650 G/M²</v>
      </c>
      <c r="C4798">
        <v>576589</v>
      </c>
      <c r="D4798">
        <v>79</v>
      </c>
    </row>
    <row r="4799" spans="1:4" x14ac:dyDescent="0.25">
      <c r="A4799" t="str">
        <f>T("   591140")</f>
        <v xml:space="preserve">   591140</v>
      </c>
      <c r="B4799" t="str">
        <f>T("   Etreindelles et tissus épais des types utilisés sur des presses d'huilerie ou pour des usages techniques analogues, y.c. ceux en cheveux")</f>
        <v xml:space="preserve">   Etreindelles et tissus épais des types utilisés sur des presses d'huilerie ou pour des usages techniques analogues, y.c. ceux en cheveux</v>
      </c>
      <c r="C4799">
        <v>10046027</v>
      </c>
      <c r="D4799">
        <v>291</v>
      </c>
    </row>
    <row r="4800" spans="1:4" x14ac:dyDescent="0.25">
      <c r="A4800" t="str">
        <f>T("   591190")</f>
        <v xml:space="preserve">   591190</v>
      </c>
      <c r="B4800" t="str">
        <f>T("   Produits et articles textiles pour usages techniques, en matières textiles, visés à la note 7 du présent chapitre, n.d.a.")</f>
        <v xml:space="preserve">   Produits et articles textiles pour usages techniques, en matières textiles, visés à la note 7 du présent chapitre, n.d.a.</v>
      </c>
      <c r="C4800">
        <v>37121</v>
      </c>
      <c r="D4800">
        <v>4</v>
      </c>
    </row>
    <row r="4801" spans="1:4" x14ac:dyDescent="0.25">
      <c r="A4801" t="str">
        <f>T("   610322")</f>
        <v xml:space="preserve">   610322</v>
      </c>
      <c r="B4801" t="str">
        <f>T("   Ensembles en bonneterie, de coton, pour hommes ou garçonnets (sauf ensembles de ski, maillots, culottes et slips de bain)")</f>
        <v xml:space="preserve">   Ensembles en bonneterie, de coton, pour hommes ou garçonnets (sauf ensembles de ski, maillots, culottes et slips de bain)</v>
      </c>
      <c r="C4801">
        <v>1178105</v>
      </c>
      <c r="D4801">
        <v>102</v>
      </c>
    </row>
    <row r="4802" spans="1:4" x14ac:dyDescent="0.25">
      <c r="A4802" t="str">
        <f>T("   610329")</f>
        <v xml:space="preserve">   610329</v>
      </c>
      <c r="B4802" t="str">
        <f>T("   Ensembles en bonneterie, de matières textiles, pour hommes et garçonnets (sauf de laine, poils fins, coton, fibres synthétiques et sauf ensembles de ski, maillots, culottes et slips de bain)")</f>
        <v xml:space="preserve">   Ensembles en bonneterie, de matières textiles, pour hommes et garçonnets (sauf de laine, poils fins, coton, fibres synthétiques et sauf ensembles de ski, maillots, culottes et slips de bain)</v>
      </c>
      <c r="C4802">
        <v>500498</v>
      </c>
      <c r="D4802">
        <v>500</v>
      </c>
    </row>
    <row r="4803" spans="1:4" x14ac:dyDescent="0.25">
      <c r="A4803" t="str">
        <f>T("   610339")</f>
        <v xml:space="preserve">   610339</v>
      </c>
      <c r="B4803" t="str">
        <f>T("   Vestons en bonneterie, de matières textiles, pour hommes ou garçonnets (sauf de laine, poils fins, coton, fibres synthétiques et sauf anoraks et articles simil.)")</f>
        <v xml:space="preserve">   Vestons en bonneterie, de matières textiles, pour hommes ou garçonnets (sauf de laine, poils fins, coton, fibres synthétiques et sauf anoraks et articles simil.)</v>
      </c>
      <c r="C4803">
        <v>509025</v>
      </c>
      <c r="D4803">
        <v>73</v>
      </c>
    </row>
    <row r="4804" spans="1:4" x14ac:dyDescent="0.25">
      <c r="A4804" t="str">
        <f>T("   610349")</f>
        <v xml:space="preserve">   610349</v>
      </c>
      <c r="B4804" t="str">
        <f>T("   PANTALONS, Y.C. KNICKERS ET PANTALONS SIMIL., SALOPETTES À BRETELLES, CULOTTES ET SHORTS, EN BONNETERIE, DE MATIÈRES TEXTILES, POUR HOMMES OU GARÇONNETS (SAUF DE LAINE, POILS FINS, COTON OU FIBRES SYNTHÉTIQUES ET SAUF CALETHONS ET SLIPS DE BAIN)")</f>
        <v xml:space="preserve">   PANTALONS, Y.C. KNICKERS ET PANTALONS SIMIL., SALOPETTES À BRETELLES, CULOTTES ET SHORTS, EN BONNETERIE, DE MATIÈRES TEXTILES, POUR HOMMES OU GARÇONNETS (SAUF DE LAINE, POILS FINS, COTON OU FIBRES SYNTHÉTIQUES ET SAUF CALETHONS ET SLIPS DE BAIN)</v>
      </c>
      <c r="C4804">
        <v>3907592</v>
      </c>
      <c r="D4804">
        <v>190</v>
      </c>
    </row>
    <row r="4805" spans="1:4" x14ac:dyDescent="0.25">
      <c r="A4805" t="str">
        <f>T("   610459")</f>
        <v xml:space="preserve">   610459</v>
      </c>
      <c r="B4805" t="str">
        <f>T("   Jupes et jupes-culottes, en bonneterie, de matières textiles, pour femmes ou fillettes (sauf de laine, poils fins, coton, fibres synthétiques et sauf jupons)")</f>
        <v xml:space="preserve">   Jupes et jupes-culottes, en bonneterie, de matières textiles, pour femmes ou fillettes (sauf de laine, poils fins, coton, fibres synthétiques et sauf jupons)</v>
      </c>
      <c r="C4805">
        <v>350911</v>
      </c>
      <c r="D4805">
        <v>247</v>
      </c>
    </row>
    <row r="4806" spans="1:4" x14ac:dyDescent="0.25">
      <c r="A4806" t="str">
        <f>T("   610469")</f>
        <v xml:space="preserve">   610469</v>
      </c>
      <c r="B4806" t="s">
        <v>259</v>
      </c>
      <c r="C4806">
        <v>728116</v>
      </c>
      <c r="D4806">
        <v>240</v>
      </c>
    </row>
    <row r="4807" spans="1:4" x14ac:dyDescent="0.25">
      <c r="A4807" t="str">
        <f>T("   610510")</f>
        <v xml:space="preserve">   610510</v>
      </c>
      <c r="B4807" t="str">
        <f>T("   Chemises et chemisettes, en bonneterie, de coton, pour hommes ou garçonnets (sauf chemises de nuit, T-shirts et maillots de corps)")</f>
        <v xml:space="preserve">   Chemises et chemisettes, en bonneterie, de coton, pour hommes ou garçonnets (sauf chemises de nuit, T-shirts et maillots de corps)</v>
      </c>
      <c r="C4807">
        <v>2370626</v>
      </c>
      <c r="D4807">
        <v>177</v>
      </c>
    </row>
    <row r="4808" spans="1:4" x14ac:dyDescent="0.25">
      <c r="A4808" t="str">
        <f>T("   610520")</f>
        <v xml:space="preserve">   610520</v>
      </c>
      <c r="B4808" t="str">
        <f>T("   Chemises et chemisettes, en bonneterie, de fibres synthétiques ou artificielles, pour hommes ou garçonnets (sauf chemises de nuit, T-shirts et maillots de corps)")</f>
        <v xml:space="preserve">   Chemises et chemisettes, en bonneterie, de fibres synthétiques ou artificielles, pour hommes ou garçonnets (sauf chemises de nuit, T-shirts et maillots de corps)</v>
      </c>
      <c r="C4808">
        <v>1058126</v>
      </c>
      <c r="D4808">
        <v>637.66999999999996</v>
      </c>
    </row>
    <row r="4809" spans="1:4" x14ac:dyDescent="0.25">
      <c r="A4809" t="str">
        <f>T("   610590")</f>
        <v xml:space="preserve">   610590</v>
      </c>
      <c r="B4809" t="str">
        <f>T("   Chemises et chemisettes, en bonneterie, de matières textiles, pour hommes ou garçonnets (sauf de coton, fibres synthétiques ou artificielles et sauf chemises de nuit, T-shirts et maillots de corps)")</f>
        <v xml:space="preserve">   Chemises et chemisettes, en bonneterie, de matières textiles, pour hommes ou garçonnets (sauf de coton, fibres synthétiques ou artificielles et sauf chemises de nuit, T-shirts et maillots de corps)</v>
      </c>
      <c r="C4809">
        <v>1333149</v>
      </c>
      <c r="D4809">
        <v>827</v>
      </c>
    </row>
    <row r="4810" spans="1:4" x14ac:dyDescent="0.25">
      <c r="A4810" t="str">
        <f>T("   610610")</f>
        <v xml:space="preserve">   610610</v>
      </c>
      <c r="B4810" t="str">
        <f>T("   Chemisiers, blouses, blouses-chemisiers et chemisettes, en bonneterie, de coton, pour femmes ou fillettes (sauf T-shirts et gilets de corps)")</f>
        <v xml:space="preserve">   Chemisiers, blouses, blouses-chemisiers et chemisettes, en bonneterie, de coton, pour femmes ou fillettes (sauf T-shirts et gilets de corps)</v>
      </c>
      <c r="C4810">
        <v>493525</v>
      </c>
      <c r="D4810">
        <v>146</v>
      </c>
    </row>
    <row r="4811" spans="1:4" x14ac:dyDescent="0.25">
      <c r="A4811" t="str">
        <f>T("   610719")</f>
        <v xml:space="preserve">   610719</v>
      </c>
      <c r="B4811" t="str">
        <f>T("   SLIPS ET CALETHONS, EN BONNETERIE, DE MATIÈRES TEXTILES, POUR HOMMES OU GARÇONNETS (SAUF DE COTON OU FIBRES SYNTHÉTIQUES OU ARTIFICIELLES)")</f>
        <v xml:space="preserve">   SLIPS ET CALETHONS, EN BONNETERIE, DE MATIÈRES TEXTILES, POUR HOMMES OU GARÇONNETS (SAUF DE COTON OU FIBRES SYNTHÉTIQUES OU ARTIFICIELLES)</v>
      </c>
      <c r="C4811">
        <v>552541</v>
      </c>
      <c r="D4811">
        <v>760</v>
      </c>
    </row>
    <row r="4812" spans="1:4" x14ac:dyDescent="0.25">
      <c r="A4812" t="str">
        <f>T("   610791")</f>
        <v xml:space="preserve">   610791</v>
      </c>
      <c r="B4812" t="str">
        <f>T("   Peignoirs de bain, robes de chambre et articles simil., en bonneterie, de coton, pour hommes ou garçonnets")</f>
        <v xml:space="preserve">   Peignoirs de bain, robes de chambre et articles simil., en bonneterie, de coton, pour hommes ou garçonnets</v>
      </c>
      <c r="C4812">
        <v>32798</v>
      </c>
      <c r="D4812">
        <v>54</v>
      </c>
    </row>
    <row r="4813" spans="1:4" x14ac:dyDescent="0.25">
      <c r="A4813" t="str">
        <f>T("   610792")</f>
        <v xml:space="preserve">   610792</v>
      </c>
      <c r="B4813" t="str">
        <f>T("   Peignoirs de bain, robes de chambre et articles simil., en bonneterie, de fibres synthétiques ou artificielles, pour hommes ou garçonnets")</f>
        <v xml:space="preserve">   Peignoirs de bain, robes de chambre et articles simil., en bonneterie, de fibres synthétiques ou artificielles, pour hommes ou garçonnets</v>
      </c>
      <c r="C4813">
        <v>26239</v>
      </c>
      <c r="D4813">
        <v>85</v>
      </c>
    </row>
    <row r="4814" spans="1:4" x14ac:dyDescent="0.25">
      <c r="A4814" t="str">
        <f>T("   610822")</f>
        <v xml:space="preserve">   610822</v>
      </c>
      <c r="B4814" t="str">
        <f>T("   Slips et culottes, en bonneterie, de fibres synthétiques ou artificielles, pour femmes ou fillettes")</f>
        <v xml:space="preserve">   Slips et culottes, en bonneterie, de fibres synthétiques ou artificielles, pour femmes ou fillettes</v>
      </c>
      <c r="C4814">
        <v>221059</v>
      </c>
      <c r="D4814">
        <v>6</v>
      </c>
    </row>
    <row r="4815" spans="1:4" x14ac:dyDescent="0.25">
      <c r="A4815" t="str">
        <f>T("   610829")</f>
        <v xml:space="preserve">   610829</v>
      </c>
      <c r="B4815" t="str">
        <f>T("   Slips et culottes, en bonneterie, de matières textiles, pour femmes ou fillettes (sauf de coton ou fibres synthétiques ou artificielles)")</f>
        <v xml:space="preserve">   Slips et culottes, en bonneterie, de matières textiles, pour femmes ou fillettes (sauf de coton ou fibres synthétiques ou artificielles)</v>
      </c>
      <c r="C4815">
        <v>10426213</v>
      </c>
      <c r="D4815">
        <v>1485</v>
      </c>
    </row>
    <row r="4816" spans="1:4" x14ac:dyDescent="0.25">
      <c r="A4816" t="str">
        <f>T("   610910")</f>
        <v xml:space="preserve">   610910</v>
      </c>
      <c r="B4816" t="str">
        <f>T("   T-shirts et maillots de corps, en bonneterie, de coton,")</f>
        <v xml:space="preserve">   T-shirts et maillots de corps, en bonneterie, de coton,</v>
      </c>
      <c r="C4816">
        <v>72958725</v>
      </c>
      <c r="D4816">
        <v>42278</v>
      </c>
    </row>
    <row r="4817" spans="1:4" x14ac:dyDescent="0.25">
      <c r="A4817" t="str">
        <f>T("   610990")</f>
        <v xml:space="preserve">   610990</v>
      </c>
      <c r="B4817" t="str">
        <f>T("   T-shirts et maillots de corps, en bonneterie, de matières textiles (sauf de coton)")</f>
        <v xml:space="preserve">   T-shirts et maillots de corps, en bonneterie, de matières textiles (sauf de coton)</v>
      </c>
      <c r="C4817">
        <v>41085681</v>
      </c>
      <c r="D4817">
        <v>8784</v>
      </c>
    </row>
    <row r="4818" spans="1:4" x14ac:dyDescent="0.25">
      <c r="A4818" t="str">
        <f>T("   611019")</f>
        <v xml:space="preserve">   611019</v>
      </c>
      <c r="B4818" t="str">
        <f>T("   Chandails, pull-overs, cardigans, gilets et articles simil., y.c. les sous-pulls, en bonneterie, de poils fins (sauf de poils de chèvre du Cachemire et à l'excl. des gilets ouatinés)")</f>
        <v xml:space="preserve">   Chandails, pull-overs, cardigans, gilets et articles simil., y.c. les sous-pulls, en bonneterie, de poils fins (sauf de poils de chèvre du Cachemire et à l'excl. des gilets ouatinés)</v>
      </c>
      <c r="C4818">
        <v>294227</v>
      </c>
      <c r="D4818">
        <v>83</v>
      </c>
    </row>
    <row r="4819" spans="1:4" x14ac:dyDescent="0.25">
      <c r="A4819" t="str">
        <f>T("   611120")</f>
        <v xml:space="preserve">   611120</v>
      </c>
      <c r="B4819" t="str">
        <f>T("   Vêtements et accessoires du vêtement, en bonneterie, de coton, pour bébés (sauf gants et bonnets)")</f>
        <v xml:space="preserve">   Vêtements et accessoires du vêtement, en bonneterie, de coton, pour bébés (sauf gants et bonnets)</v>
      </c>
      <c r="C4819">
        <v>739267</v>
      </c>
      <c r="D4819">
        <v>161</v>
      </c>
    </row>
    <row r="4820" spans="1:4" x14ac:dyDescent="0.25">
      <c r="A4820" t="str">
        <f>T("   611190")</f>
        <v xml:space="preserve">   611190</v>
      </c>
      <c r="B4820" t="str">
        <f>T("   VÊTEMENTS ET ACCESSOIRES DU VÊTEMENT, EN BONNETERIE, DE MATIÈRES TEXTILES, POUR BÉBÉS (SAUF DE COTON, FIBRES SYNTHÉTIQUES ET SAUF BONNETS)")</f>
        <v xml:space="preserve">   VÊTEMENTS ET ACCESSOIRES DU VÊTEMENT, EN BONNETERIE, DE MATIÈRES TEXTILES, POUR BÉBÉS (SAUF DE COTON, FIBRES SYNTHÉTIQUES ET SAUF BONNETS)</v>
      </c>
      <c r="C4820">
        <v>350000</v>
      </c>
      <c r="D4820">
        <v>128</v>
      </c>
    </row>
    <row r="4821" spans="1:4" x14ac:dyDescent="0.25">
      <c r="A4821" t="str">
        <f>T("   611219")</f>
        <v xml:space="preserve">   611219</v>
      </c>
      <c r="B4821" t="str">
        <f>T("   Survêtements de sport 'trainings', en bonneterie, de matières textiles (sauf de coton ou fibres synthétiques)")</f>
        <v xml:space="preserve">   Survêtements de sport 'trainings', en bonneterie, de matières textiles (sauf de coton ou fibres synthétiques)</v>
      </c>
      <c r="C4821">
        <v>1707464</v>
      </c>
      <c r="D4821">
        <v>59</v>
      </c>
    </row>
    <row r="4822" spans="1:4" x14ac:dyDescent="0.25">
      <c r="A4822" t="str">
        <f>T("   611239")</f>
        <v xml:space="preserve">   611239</v>
      </c>
      <c r="B4822" t="str">
        <f>T("   Maillots, culottes et slips de bain, en bonneterie, de matières textiles, pour hommes ou garçonnets (sauf de fibres synthétiques)")</f>
        <v xml:space="preserve">   Maillots, culottes et slips de bain, en bonneterie, de matières textiles, pour hommes ou garçonnets (sauf de fibres synthétiques)</v>
      </c>
      <c r="C4822">
        <v>4335391</v>
      </c>
      <c r="D4822">
        <v>175</v>
      </c>
    </row>
    <row r="4823" spans="1:4" x14ac:dyDescent="0.25">
      <c r="A4823" t="str">
        <f>T("   611241")</f>
        <v xml:space="preserve">   611241</v>
      </c>
      <c r="B4823" t="str">
        <f>T("   Maillots, culottes et slips de bain, en bonneterie, de fibres synthétiques, pour femmes ou fillettes")</f>
        <v xml:space="preserve">   Maillots, culottes et slips de bain, en bonneterie, de fibres synthétiques, pour femmes ou fillettes</v>
      </c>
      <c r="C4823">
        <v>1123660</v>
      </c>
      <c r="D4823">
        <v>41</v>
      </c>
    </row>
    <row r="4824" spans="1:4" x14ac:dyDescent="0.25">
      <c r="A4824" t="str">
        <f>T("   611300")</f>
        <v xml:space="preserve">   611300</v>
      </c>
      <c r="B4824" t="str">
        <f>T("   Vêtements confectionnés en étoffes de bonneterie caoutchoutées ou imprégnées, enduites ou recouvertes de matière plastique ou d'autres substances (sauf vêtements pour bébés et accessoires du vêtement)")</f>
        <v xml:space="preserve">   Vêtements confectionnés en étoffes de bonneterie caoutchoutées ou imprégnées, enduites ou recouvertes de matière plastique ou d'autres substances (sauf vêtements pour bébés et accessoires du vêtement)</v>
      </c>
      <c r="C4824">
        <v>350000</v>
      </c>
      <c r="D4824">
        <v>90</v>
      </c>
    </row>
    <row r="4825" spans="1:4" x14ac:dyDescent="0.25">
      <c r="A4825" t="str">
        <f>T("   611420")</f>
        <v xml:space="preserve">   611420</v>
      </c>
      <c r="B4825" t="str">
        <f>T("   Vêtements spéciaux destinés à des fins professionnelles, sportives ou autres n.d.a., en bonneterie, de coton")</f>
        <v xml:space="preserve">   Vêtements spéciaux destinés à des fins professionnelles, sportives ou autres n.d.a., en bonneterie, de coton</v>
      </c>
      <c r="C4825">
        <v>661863</v>
      </c>
      <c r="D4825">
        <v>58</v>
      </c>
    </row>
    <row r="4826" spans="1:4" x14ac:dyDescent="0.25">
      <c r="A4826" t="str">
        <f>T("   611430")</f>
        <v xml:space="preserve">   611430</v>
      </c>
      <c r="B4826" t="str">
        <f>T("   Vêtements spéciaux destinés à des fins professionnelles, sportives ou autres n.d.a., en bonneterie, de fibres synthétiques ou artificielles")</f>
        <v xml:space="preserve">   Vêtements spéciaux destinés à des fins professionnelles, sportives ou autres n.d.a., en bonneterie, de fibres synthétiques ou artificielles</v>
      </c>
      <c r="C4826">
        <v>519520</v>
      </c>
      <c r="D4826">
        <v>144</v>
      </c>
    </row>
    <row r="4827" spans="1:4" x14ac:dyDescent="0.25">
      <c r="A4827" t="str">
        <f>T("   611490")</f>
        <v xml:space="preserve">   611490</v>
      </c>
      <c r="B4827" t="str">
        <f>T("   Vêtements spéciaux destinés à des fins professionnelles, sportives ou autres n.d.a., en bonneterie, de matières textiles (sauf de laine, poils fins, coton, fibres synthétiques ou artificielles)")</f>
        <v xml:space="preserve">   Vêtements spéciaux destinés à des fins professionnelles, sportives ou autres n.d.a., en bonneterie, de matières textiles (sauf de laine, poils fins, coton, fibres synthétiques ou artificielles)</v>
      </c>
      <c r="C4827">
        <v>8810630</v>
      </c>
      <c r="D4827">
        <v>7366</v>
      </c>
    </row>
    <row r="4828" spans="1:4" x14ac:dyDescent="0.25">
      <c r="A4828" t="str">
        <f>T("   611599")</f>
        <v xml:space="preserve">   611599</v>
      </c>
      <c r="B4828" t="s">
        <v>261</v>
      </c>
      <c r="C4828">
        <v>4987756</v>
      </c>
      <c r="D4828">
        <v>382</v>
      </c>
    </row>
    <row r="4829" spans="1:4" x14ac:dyDescent="0.25">
      <c r="A4829" t="str">
        <f>T("   611610")</f>
        <v xml:space="preserve">   611610</v>
      </c>
      <c r="B4829" t="str">
        <f>T("   Gants, mitaines et moufles, en bonneterie, imprégnés, enduits ou recouverts de matières plastiques ou de caoutchouc (sauf pour bébés)")</f>
        <v xml:space="preserve">   Gants, mitaines et moufles, en bonneterie, imprégnés, enduits ou recouverts de matières plastiques ou de caoutchouc (sauf pour bébés)</v>
      </c>
      <c r="C4829">
        <v>1333567</v>
      </c>
      <c r="D4829">
        <v>211</v>
      </c>
    </row>
    <row r="4830" spans="1:4" x14ac:dyDescent="0.25">
      <c r="A4830" t="str">
        <f>T("   611692")</f>
        <v xml:space="preserve">   611692</v>
      </c>
      <c r="B4830" t="str">
        <f>T("   Gants, mitaines et moufles, en bonneterie, de coton (sauf imprégnés, enduits ou recouverts de matière plastique ou de caoutchouc et sauf pour bébés)")</f>
        <v xml:space="preserve">   Gants, mitaines et moufles, en bonneterie, de coton (sauf imprégnés, enduits ou recouverts de matière plastique ou de caoutchouc et sauf pour bébés)</v>
      </c>
      <c r="C4830">
        <v>4426545</v>
      </c>
      <c r="D4830">
        <v>1500</v>
      </c>
    </row>
    <row r="4831" spans="1:4" x14ac:dyDescent="0.25">
      <c r="A4831" t="str">
        <f>T("   611699")</f>
        <v xml:space="preserve">   611699</v>
      </c>
      <c r="B4831" t="str">
        <f>T("   Gants, mitaines et moufles, en bonneterie, de matières textiles (autres que laine, poils fins, coton, fibres synthétiques ou imprégnés, enduits ou recouverts de matières plastiques ou de caoutchouc et sauf pour bébés)")</f>
        <v xml:space="preserve">   Gants, mitaines et moufles, en bonneterie, de matières textiles (autres que laine, poils fins, coton, fibres synthétiques ou imprégnés, enduits ou recouverts de matières plastiques ou de caoutchouc et sauf pour bébés)</v>
      </c>
      <c r="C4831">
        <v>444085</v>
      </c>
      <c r="D4831">
        <v>241</v>
      </c>
    </row>
    <row r="4832" spans="1:4" x14ac:dyDescent="0.25">
      <c r="A4832" t="str">
        <f>T("   611710")</f>
        <v xml:space="preserve">   611710</v>
      </c>
      <c r="B4832" t="str">
        <f>T("   Châles, écharpes, foulards, cache-nez, cache-col, mantilles, voiles, voilettes et articles simil., en bonneterie")</f>
        <v xml:space="preserve">   Châles, écharpes, foulards, cache-nez, cache-col, mantilles, voiles, voilettes et articles simil., en bonneterie</v>
      </c>
      <c r="C4832">
        <v>136500</v>
      </c>
      <c r="D4832">
        <v>95</v>
      </c>
    </row>
    <row r="4833" spans="1:4" x14ac:dyDescent="0.25">
      <c r="A4833" t="str">
        <f>T("   620111")</f>
        <v xml:space="preserve">   620111</v>
      </c>
      <c r="B4833" t="str">
        <f>T("   Manteaux, imperméables, cabans, capes et articles simil., de laine ou poils fins, pour hommes ou garçonnets (à l'excl. des articles en bonneterie)")</f>
        <v xml:space="preserve">   Manteaux, imperméables, cabans, capes et articles simil., de laine ou poils fins, pour hommes ou garçonnets (à l'excl. des articles en bonneterie)</v>
      </c>
      <c r="C4833">
        <v>157430</v>
      </c>
      <c r="D4833">
        <v>30</v>
      </c>
    </row>
    <row r="4834" spans="1:4" x14ac:dyDescent="0.25">
      <c r="A4834" t="str">
        <f>T("   620192")</f>
        <v xml:space="preserve">   620192</v>
      </c>
      <c r="B4834" t="s">
        <v>262</v>
      </c>
      <c r="C4834">
        <v>20335</v>
      </c>
      <c r="D4834">
        <v>1</v>
      </c>
    </row>
    <row r="4835" spans="1:4" x14ac:dyDescent="0.25">
      <c r="A4835" t="str">
        <f>T("   620193")</f>
        <v xml:space="preserve">   620193</v>
      </c>
      <c r="B4835" t="s">
        <v>263</v>
      </c>
      <c r="C4835">
        <v>382818</v>
      </c>
      <c r="D4835">
        <v>445</v>
      </c>
    </row>
    <row r="4836" spans="1:4" x14ac:dyDescent="0.25">
      <c r="A4836" t="str">
        <f>T("   620199")</f>
        <v xml:space="preserve">   620199</v>
      </c>
      <c r="B4836" t="s">
        <v>264</v>
      </c>
      <c r="C4836">
        <v>732708</v>
      </c>
      <c r="D4836">
        <v>94</v>
      </c>
    </row>
    <row r="4837" spans="1:4" x14ac:dyDescent="0.25">
      <c r="A4837" t="str">
        <f>T("   620311")</f>
        <v xml:space="preserve">   620311</v>
      </c>
      <c r="B4837" t="str">
        <f>T("   Costumes ou complets, de laine ou poils fins, pour hommes ou garçonnets (autres qu'en bonneterie et sauf survêtements de sport 'trainings', combinaisons et ensembles de ski, maillots, culottes et slips de bain)")</f>
        <v xml:space="preserve">   Costumes ou complets, de laine ou poils fins, pour hommes ou garçonnets (autres qu'en bonneterie et sauf survêtements de sport 'trainings', combinaisons et ensembles de ski, maillots, culottes et slips de bain)</v>
      </c>
      <c r="C4837">
        <v>495250</v>
      </c>
      <c r="D4837">
        <v>141</v>
      </c>
    </row>
    <row r="4838" spans="1:4" x14ac:dyDescent="0.25">
      <c r="A4838" t="str">
        <f>T("   620319")</f>
        <v xml:space="preserve">   620319</v>
      </c>
      <c r="B4838" t="s">
        <v>265</v>
      </c>
      <c r="C4838">
        <v>5302796</v>
      </c>
      <c r="D4838">
        <v>5285</v>
      </c>
    </row>
    <row r="4839" spans="1:4" x14ac:dyDescent="0.25">
      <c r="A4839" t="str">
        <f>T("   620329")</f>
        <v xml:space="preserve">   620329</v>
      </c>
      <c r="B4839" t="str">
        <f>T("   ENSEMBLES DE MATIÈRES TEXTILES, POUR HOMMES OU GARÇONNETS (AUTRES QUE DE COTON OU FIBRES SYNTHÉTIQUES, AUTRES QU'EN BONNETERIE ET SAUF ENSEMBLES DE SKI ET MAILLOTS, CULOTTES ET SLIPS DE BAIN)")</f>
        <v xml:space="preserve">   ENSEMBLES DE MATIÈRES TEXTILES, POUR HOMMES OU GARÇONNETS (AUTRES QUE DE COTON OU FIBRES SYNTHÉTIQUES, AUTRES QU'EN BONNETERIE ET SAUF ENSEMBLES DE SKI ET MAILLOTS, CULOTTES ET SLIPS DE BAIN)</v>
      </c>
      <c r="C4839">
        <v>5460867</v>
      </c>
      <c r="D4839">
        <v>424</v>
      </c>
    </row>
    <row r="4840" spans="1:4" x14ac:dyDescent="0.25">
      <c r="A4840" t="str">
        <f>T("   620339")</f>
        <v xml:space="preserve">   620339</v>
      </c>
      <c r="B4840" t="str">
        <f>T("   Vestons de matières textiles, pour hommes ou garçonnets (autres que laine, poils fins, coton ou fibres synthétiques, autres qu'en bonneterie et sauf anoraks et articles simil.)")</f>
        <v xml:space="preserve">   Vestons de matières textiles, pour hommes ou garçonnets (autres que laine, poils fins, coton ou fibres synthétiques, autres qu'en bonneterie et sauf anoraks et articles simil.)</v>
      </c>
      <c r="C4840">
        <v>229586</v>
      </c>
      <c r="D4840">
        <v>814</v>
      </c>
    </row>
    <row r="4841" spans="1:4" x14ac:dyDescent="0.25">
      <c r="A4841" t="str">
        <f>T("   620342")</f>
        <v xml:space="preserve">   620342</v>
      </c>
      <c r="B4841" t="str">
        <f>T("   Pantalons, y.c. knickers et pantalons simil., salopettes à bretelles, culottes et shorts, de coton, pour hommes ou garçonnets (autres qu'en bonneterie et sauf slips et caleçons ainsi que maillots, culottes et slips de bain)")</f>
        <v xml:space="preserve">   Pantalons, y.c. knickers et pantalons simil., salopettes à bretelles, culottes et shorts, de coton, pour hommes ou garçonnets (autres qu'en bonneterie et sauf slips et caleçons ainsi que maillots, culottes et slips de bain)</v>
      </c>
      <c r="C4841">
        <v>329292</v>
      </c>
      <c r="D4841">
        <v>144</v>
      </c>
    </row>
    <row r="4842" spans="1:4" x14ac:dyDescent="0.25">
      <c r="A4842" t="str">
        <f>T("   620349")</f>
        <v xml:space="preserve">   620349</v>
      </c>
      <c r="B4842" t="s">
        <v>266</v>
      </c>
      <c r="C4842">
        <v>8852015</v>
      </c>
      <c r="D4842">
        <v>1688</v>
      </c>
    </row>
    <row r="4843" spans="1:4" x14ac:dyDescent="0.25">
      <c r="A4843" t="str">
        <f>T("   620412")</f>
        <v xml:space="preserve">   620412</v>
      </c>
      <c r="B4843" t="str">
        <f>T("   Costumes tailleurs, de coton, pour femmes ou fillettes (autres qu'en bonneterie et sauf combinaisons de ski et vêtements de bain)")</f>
        <v xml:space="preserve">   Costumes tailleurs, de coton, pour femmes ou fillettes (autres qu'en bonneterie et sauf combinaisons de ski et vêtements de bain)</v>
      </c>
      <c r="C4843">
        <v>1492000</v>
      </c>
      <c r="D4843">
        <v>588</v>
      </c>
    </row>
    <row r="4844" spans="1:4" x14ac:dyDescent="0.25">
      <c r="A4844" t="str">
        <f>T("   620419")</f>
        <v xml:space="preserve">   620419</v>
      </c>
      <c r="B4844" t="str">
        <f>T("   Costumes tailleurs, de matières textiles, pour femmes ou fillettes (autres que laine, poils fins, coton ou fibres synthétiques, autres qu'en bonneterie et sauf combinaisons de ski et vêtements de bain)")</f>
        <v xml:space="preserve">   Costumes tailleurs, de matières textiles, pour femmes ou fillettes (autres que laine, poils fins, coton ou fibres synthétiques, autres qu'en bonneterie et sauf combinaisons de ski et vêtements de bain)</v>
      </c>
      <c r="C4844">
        <v>407000</v>
      </c>
      <c r="D4844">
        <v>229</v>
      </c>
    </row>
    <row r="4845" spans="1:4" x14ac:dyDescent="0.25">
      <c r="A4845" t="str">
        <f>T("   620429")</f>
        <v xml:space="preserve">   620429</v>
      </c>
      <c r="B4845" t="str">
        <f>T("   Ensembles de matières textiles, pour femmes ou fillettes (autres que laine, poils fins, coton ou fibres synthétiques, autres qu'en bonneterie et sauf, ensembles de ski et vêtements de bain)")</f>
        <v xml:space="preserve">   Ensembles de matières textiles, pour femmes ou fillettes (autres que laine, poils fins, coton ou fibres synthétiques, autres qu'en bonneterie et sauf, ensembles de ski et vêtements de bain)</v>
      </c>
      <c r="C4845">
        <v>75000</v>
      </c>
      <c r="D4845">
        <v>23</v>
      </c>
    </row>
    <row r="4846" spans="1:4" x14ac:dyDescent="0.25">
      <c r="A4846" t="str">
        <f>T("   620439")</f>
        <v xml:space="preserve">   620439</v>
      </c>
      <c r="B4846" t="str">
        <f>T("   Vestes de matières textiles, pour femmes ou fillettes (autres que laine, poils fins, coton ou fibres synthétiques, autres qu'en bonneterie et sauf anoraks et articles simil.)")</f>
        <v xml:space="preserve">   Vestes de matières textiles, pour femmes ou fillettes (autres que laine, poils fins, coton ou fibres synthétiques, autres qu'en bonneterie et sauf anoraks et articles simil.)</v>
      </c>
      <c r="C4846">
        <v>1162604</v>
      </c>
      <c r="D4846">
        <v>582</v>
      </c>
    </row>
    <row r="4847" spans="1:4" x14ac:dyDescent="0.25">
      <c r="A4847" t="str">
        <f>T("   620449")</f>
        <v xml:space="preserve">   620449</v>
      </c>
      <c r="B4847" t="str">
        <f>T("   Robes de matières textiles, pour femmes ou fillettes (autres que laine, poils fins, coton, fibres synthétiques ou artificielles, autres qu'en bonneterie et sauf combinaisons et fonds de robes)")</f>
        <v xml:space="preserve">   Robes de matières textiles, pour femmes ou fillettes (autres que laine, poils fins, coton, fibres synthétiques ou artificielles, autres qu'en bonneterie et sauf combinaisons et fonds de robes)</v>
      </c>
      <c r="C4847">
        <v>255112</v>
      </c>
      <c r="D4847">
        <v>79</v>
      </c>
    </row>
    <row r="4848" spans="1:4" x14ac:dyDescent="0.25">
      <c r="A4848" t="str">
        <f>T("   620520")</f>
        <v xml:space="preserve">   620520</v>
      </c>
      <c r="B4848" t="str">
        <f>T("   Chemises et chemisettes, de coton, pour hommes ou garçonnets (autres qu'en bonneterie et sauf chemises de nuit et gilets de corps)")</f>
        <v xml:space="preserve">   Chemises et chemisettes, de coton, pour hommes ou garçonnets (autres qu'en bonneterie et sauf chemises de nuit et gilets de corps)</v>
      </c>
      <c r="C4848">
        <v>24532534</v>
      </c>
      <c r="D4848">
        <v>7290</v>
      </c>
    </row>
    <row r="4849" spans="1:4" x14ac:dyDescent="0.25">
      <c r="A4849" t="str">
        <f>T("   620590")</f>
        <v xml:space="preserve">   620590</v>
      </c>
      <c r="B4849"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4849">
        <v>23283374</v>
      </c>
      <c r="D4849">
        <v>35058</v>
      </c>
    </row>
    <row r="4850" spans="1:4" x14ac:dyDescent="0.25">
      <c r="A4850" t="str">
        <f>T("   620630")</f>
        <v xml:space="preserve">   620630</v>
      </c>
      <c r="B4850" t="str">
        <f>T("   Chemisiers, blouses, blouses-chemisiers et chemisettes, de coton, pour femmes ou fillettes (autres qu'en bonneterie et sauf gilets de corps et chemises de jour)")</f>
        <v xml:space="preserve">   Chemisiers, blouses, blouses-chemisiers et chemisettes, de coton, pour femmes ou fillettes (autres qu'en bonneterie et sauf gilets de corps et chemises de jour)</v>
      </c>
      <c r="C4850">
        <v>3086192</v>
      </c>
      <c r="D4850">
        <v>350</v>
      </c>
    </row>
    <row r="4851" spans="1:4" x14ac:dyDescent="0.25">
      <c r="A4851" t="str">
        <f>T("   620690")</f>
        <v xml:space="preserve">   620690</v>
      </c>
      <c r="B4851" t="s">
        <v>268</v>
      </c>
      <c r="C4851">
        <v>2720595</v>
      </c>
      <c r="D4851">
        <v>1553</v>
      </c>
    </row>
    <row r="4852" spans="1:4" x14ac:dyDescent="0.25">
      <c r="A4852" t="str">
        <f>T("   620711")</f>
        <v xml:space="preserve">   620711</v>
      </c>
      <c r="B4852" t="str">
        <f>T("   SLIPS ET CALETHONS, DE COTON, POUR HOMMES OU GARÇONNETS (AUTRES QU'EN BONNETERIE)")</f>
        <v xml:space="preserve">   SLIPS ET CALETHONS, DE COTON, POUR HOMMES OU GARÇONNETS (AUTRES QU'EN BONNETERIE)</v>
      </c>
      <c r="C4852">
        <v>1254851</v>
      </c>
      <c r="D4852">
        <v>131</v>
      </c>
    </row>
    <row r="4853" spans="1:4" x14ac:dyDescent="0.25">
      <c r="A4853" t="str">
        <f>T("   620719")</f>
        <v xml:space="preserve">   620719</v>
      </c>
      <c r="B4853" t="str">
        <f>T("   SLIPS ET CALETHONS, DE MATIÈRES TEXTILES, POUR HOMMES OU GARÇONNETS (AUTRES QUE DE COTON ET AUTRES QU'EN BONNETERIE)")</f>
        <v xml:space="preserve">   SLIPS ET CALETHONS, DE MATIÈRES TEXTILES, POUR HOMMES OU GARÇONNETS (AUTRES QUE DE COTON ET AUTRES QU'EN BONNETERIE)</v>
      </c>
      <c r="C4853">
        <v>9228044</v>
      </c>
      <c r="D4853">
        <v>4641</v>
      </c>
    </row>
    <row r="4854" spans="1:4" x14ac:dyDescent="0.25">
      <c r="A4854" t="str">
        <f>T("   620721")</f>
        <v xml:space="preserve">   620721</v>
      </c>
      <c r="B4854" t="str">
        <f>T("   CHEMISES DE NUIT ET PYJAMAS, DE COTON, POUR HOMMES OU GARÇONNETS (AUTRES QU'EN BONNETERIE ET SAUF GILETS DE CORPS ET SLIPS ET CALETHONS)")</f>
        <v xml:space="preserve">   CHEMISES DE NUIT ET PYJAMAS, DE COTON, POUR HOMMES OU GARÇONNETS (AUTRES QU'EN BONNETERIE ET SAUF GILETS DE CORPS ET SLIPS ET CALETHONS)</v>
      </c>
      <c r="C4854">
        <v>2030853</v>
      </c>
      <c r="D4854">
        <v>118</v>
      </c>
    </row>
    <row r="4855" spans="1:4" x14ac:dyDescent="0.25">
      <c r="A4855" t="str">
        <f>T("   620722")</f>
        <v xml:space="preserve">   620722</v>
      </c>
      <c r="B4855" t="str">
        <f>T("   CHEMISES DE NUIT ET PYJAMAS, DE FIBRES SYNTHÉTIQUES OU ARTIFICIELLES, POUR HOMMES OU GARÇONNETS (AUTRES QU'EN BONNETERIE ET SAUF GILETS DE CORPS ET SLIPS ET CALETHONS)")</f>
        <v xml:space="preserve">   CHEMISES DE NUIT ET PYJAMAS, DE FIBRES SYNTHÉTIQUES OU ARTIFICIELLES, POUR HOMMES OU GARÇONNETS (AUTRES QU'EN BONNETERIE ET SAUF GILETS DE CORPS ET SLIPS ET CALETHONS)</v>
      </c>
      <c r="C4855">
        <v>207284</v>
      </c>
      <c r="D4855">
        <v>470</v>
      </c>
    </row>
    <row r="4856" spans="1:4" x14ac:dyDescent="0.25">
      <c r="A4856" t="str">
        <f>T("   620799")</f>
        <v xml:space="preserve">   620799</v>
      </c>
      <c r="B4856" t="str">
        <f>T("   GILETS DE CORPS, PEIGNOIRS DE BAIN, ROBES DE CHAMBRE ET ARTICLES SIMIL., DE MATIÈRES TEXTILES, POUR HOMMES OU GARÇONNETS (AUTRES QUE DE COTON ET AUTRES QU'EN BONNETERIE ET SAUF SLIPS ET CALEÇONS, CHEMISES DE NUIT ET PYJAMAS)")</f>
        <v xml:space="preserve">   GILETS DE CORPS, PEIGNOIRS DE BAIN, ROBES DE CHAMBRE ET ARTICLES SIMIL., DE MATIÈRES TEXTILES, POUR HOMMES OU GARÇONNETS (AUTRES QUE DE COTON ET AUTRES QU'EN BONNETERIE ET SAUF SLIPS ET CALEÇONS, CHEMISES DE NUIT ET PYJAMAS)</v>
      </c>
      <c r="C4856">
        <v>1189445</v>
      </c>
      <c r="D4856">
        <v>1548</v>
      </c>
    </row>
    <row r="4857" spans="1:4" x14ac:dyDescent="0.25">
      <c r="A4857" t="str">
        <f>T("   620822")</f>
        <v xml:space="preserve">   620822</v>
      </c>
      <c r="B4857" t="str">
        <f>T("   Chemises de nuit et pyjamas, de fibres synthétiques ou artificielles, pour femmes ou fillettes (autres qu'en bonneterie et sauf gilets de corps, chemises de jour et déshabillés)")</f>
        <v xml:space="preserve">   Chemises de nuit et pyjamas, de fibres synthétiques ou artificielles, pour femmes ou fillettes (autres qu'en bonneterie et sauf gilets de corps, chemises de jour et déshabillés)</v>
      </c>
      <c r="C4857">
        <v>1270594</v>
      </c>
      <c r="D4857">
        <v>44</v>
      </c>
    </row>
    <row r="4858" spans="1:4" x14ac:dyDescent="0.25">
      <c r="A4858" t="str">
        <f>T("   620829")</f>
        <v xml:space="preserve">   620829</v>
      </c>
      <c r="B4858" t="str">
        <f>T("   Chemises de nuit et pyjamas, de matières textiles, pour femmes ou fillettes (autres que de coton, fibres synthétiques ou artificielles, autres qu'en bonneterie et sauf gilets de corps, chemises de jour et déshabillés)")</f>
        <v xml:space="preserve">   Chemises de nuit et pyjamas, de matières textiles, pour femmes ou fillettes (autres que de coton, fibres synthétiques ou artificielles, autres qu'en bonneterie et sauf gilets de corps, chemises de jour et déshabillés)</v>
      </c>
      <c r="C4858">
        <v>1152522</v>
      </c>
      <c r="D4858">
        <v>39</v>
      </c>
    </row>
    <row r="4859" spans="1:4" x14ac:dyDescent="0.25">
      <c r="A4859" t="str">
        <f>T("   620899")</f>
        <v xml:space="preserve">   620899</v>
      </c>
      <c r="B4859" t="s">
        <v>270</v>
      </c>
      <c r="C4859">
        <v>10793459</v>
      </c>
      <c r="D4859">
        <v>2300</v>
      </c>
    </row>
    <row r="4860" spans="1:4" x14ac:dyDescent="0.25">
      <c r="A4860" t="str">
        <f>T("   620910")</f>
        <v xml:space="preserve">   620910</v>
      </c>
      <c r="B4860" t="str">
        <f>T("   Vêtements et accessoires du vêtement, de laine ou poils fins, pour bébés (autres qu'en bonneterie et sauf bonnets)")</f>
        <v xml:space="preserve">   Vêtements et accessoires du vêtement, de laine ou poils fins, pour bébés (autres qu'en bonneterie et sauf bonnets)</v>
      </c>
      <c r="C4860">
        <v>150000</v>
      </c>
      <c r="D4860">
        <v>300</v>
      </c>
    </row>
    <row r="4861" spans="1:4" x14ac:dyDescent="0.25">
      <c r="A4861" t="str">
        <f>T("   620920")</f>
        <v xml:space="preserve">   620920</v>
      </c>
      <c r="B4861" t="str">
        <f>T("   Vêtements et accessoires du vêtement, de coton, pour bébés (autres qu'en bonneterie et sauf bonnets)")</f>
        <v xml:space="preserve">   Vêtements et accessoires du vêtement, de coton, pour bébés (autres qu'en bonneterie et sauf bonnets)</v>
      </c>
      <c r="C4861">
        <v>3936</v>
      </c>
      <c r="D4861">
        <v>61</v>
      </c>
    </row>
    <row r="4862" spans="1:4" x14ac:dyDescent="0.25">
      <c r="A4862" t="str">
        <f>T("   620990")</f>
        <v xml:space="preserve">   620990</v>
      </c>
      <c r="B4862" t="str">
        <f>T("   VÊTEMENTS ET ACCESSOIRES DU VÊTEMENT, DE MATIÈRES TEXTILES, POUR BÉBÉS (AUTRES QUE DE COTON, FIBRES SYNTHÉTIQUES, AUTRES QU'EN BONNETERIE ET SAUF BONNETS)")</f>
        <v xml:space="preserve">   VÊTEMENTS ET ACCESSOIRES DU VÊTEMENT, DE MATIÈRES TEXTILES, POUR BÉBÉS (AUTRES QUE DE COTON, FIBRES SYNTHÉTIQUES, AUTRES QU'EN BONNETERIE ET SAUF BONNETS)</v>
      </c>
      <c r="C4862">
        <v>1638888</v>
      </c>
      <c r="D4862">
        <v>3079</v>
      </c>
    </row>
    <row r="4863" spans="1:4" x14ac:dyDescent="0.25">
      <c r="A4863" t="str">
        <f>T("   621020")</f>
        <v xml:space="preserve">   621020</v>
      </c>
      <c r="B4863" t="str">
        <f>T("   Vêtements des types du n° 6201.11 à 6201.19 [manteaux, cabans, capes et articles simil.], caoutchoutés ou imprégnés, enduits ou recouverts de matière plastique ou d'autres substances")</f>
        <v xml:space="preserve">   Vêtements des types du n° 6201.11 à 6201.19 [manteaux, cabans, capes et articles simil.], caoutchoutés ou imprégnés, enduits ou recouverts de matière plastique ou d'autres substances</v>
      </c>
      <c r="C4863">
        <v>428811</v>
      </c>
      <c r="D4863">
        <v>224</v>
      </c>
    </row>
    <row r="4864" spans="1:4" x14ac:dyDescent="0.25">
      <c r="A4864" t="str">
        <f>T("   621040")</f>
        <v xml:space="preserve">   621040</v>
      </c>
      <c r="B4864" t="s">
        <v>271</v>
      </c>
      <c r="C4864">
        <v>29620830</v>
      </c>
      <c r="D4864">
        <v>25107</v>
      </c>
    </row>
    <row r="4865" spans="1:4" x14ac:dyDescent="0.25">
      <c r="A4865" t="str">
        <f>T("   621050")</f>
        <v xml:space="preserve">   621050</v>
      </c>
      <c r="B4865" t="s">
        <v>272</v>
      </c>
      <c r="C4865">
        <v>8698219</v>
      </c>
      <c r="D4865">
        <v>8868</v>
      </c>
    </row>
    <row r="4866" spans="1:4" x14ac:dyDescent="0.25">
      <c r="A4866" t="str">
        <f>T("   621111")</f>
        <v xml:space="preserve">   621111</v>
      </c>
      <c r="B4866" t="str">
        <f>T("   Maillots, culottes et slips de bain, pour hommes ou garçonnets (autres qu'en bonneterie)")</f>
        <v xml:space="preserve">   Maillots, culottes et slips de bain, pour hommes ou garçonnets (autres qu'en bonneterie)</v>
      </c>
      <c r="C4866">
        <v>1836688</v>
      </c>
      <c r="D4866">
        <v>60</v>
      </c>
    </row>
    <row r="4867" spans="1:4" x14ac:dyDescent="0.25">
      <c r="A4867" t="str">
        <f>T("   621133")</f>
        <v xml:space="preserve">   621133</v>
      </c>
      <c r="B4867" t="str">
        <f>T("   Survêtements de sport 'trainings' et autres vêtements n.d.a., de fibres synthétiques ou artificielles, pour hommes ou garçonnets (autres qu'en bonneterie)")</f>
        <v xml:space="preserve">   Survêtements de sport 'trainings' et autres vêtements n.d.a., de fibres synthétiques ou artificielles, pour hommes ou garçonnets (autres qu'en bonneterie)</v>
      </c>
      <c r="C4867">
        <v>99706</v>
      </c>
      <c r="D4867">
        <v>97</v>
      </c>
    </row>
    <row r="4868" spans="1:4" x14ac:dyDescent="0.25">
      <c r="A4868" t="str">
        <f>T("   621139")</f>
        <v xml:space="preserve">   621139</v>
      </c>
      <c r="B4868" t="str">
        <f>T("   Survêtements de sport 'trainings' et autres vêtements n.d.a., de matières textiles, pour hommes ou garçonnets (autres que de laine, poils fins, coton, fibres synthétiques ou artificielles, autres qu'en bonneterie)")</f>
        <v xml:space="preserve">   Survêtements de sport 'trainings' et autres vêtements n.d.a., de matières textiles, pour hommes ou garçonnets (autres que de laine, poils fins, coton, fibres synthétiques ou artificielles, autres qu'en bonneterie)</v>
      </c>
      <c r="C4868">
        <v>716964</v>
      </c>
      <c r="D4868">
        <v>342</v>
      </c>
    </row>
    <row r="4869" spans="1:4" x14ac:dyDescent="0.25">
      <c r="A4869" t="str">
        <f>T("   621143")</f>
        <v xml:space="preserve">   621143</v>
      </c>
      <c r="B4869" t="str">
        <f>T("   Survêtements de sport 'trainings' et autres vêtements n.d.a., de fibres synthétiques ou artificielles, pour femmes ou fillettes (autres qu'en bonneterie)")</f>
        <v xml:space="preserve">   Survêtements de sport 'trainings' et autres vêtements n.d.a., de fibres synthétiques ou artificielles, pour femmes ou fillettes (autres qu'en bonneterie)</v>
      </c>
      <c r="C4869">
        <v>66252</v>
      </c>
      <c r="D4869">
        <v>32</v>
      </c>
    </row>
    <row r="4870" spans="1:4" x14ac:dyDescent="0.25">
      <c r="A4870" t="str">
        <f>T("   621149")</f>
        <v xml:space="preserve">   621149</v>
      </c>
      <c r="B4870" t="str">
        <f>T("   Survêtements de sport 'trainings' et autres vêtements n.d.a., de matières textiles, pour femmes ou fillettes (autres que de laine, poils fins, coton, fibres synthétiques ou artificielles, autres qu'en bonneterie)")</f>
        <v xml:space="preserve">   Survêtements de sport 'trainings' et autres vêtements n.d.a., de matières textiles, pour femmes ou fillettes (autres que de laine, poils fins, coton, fibres synthétiques ou artificielles, autres qu'en bonneterie)</v>
      </c>
      <c r="C4870">
        <v>1016738</v>
      </c>
      <c r="D4870">
        <v>417</v>
      </c>
    </row>
    <row r="4871" spans="1:4" x14ac:dyDescent="0.25">
      <c r="A4871" t="str">
        <f>T("   621210")</f>
        <v xml:space="preserve">   621210</v>
      </c>
      <c r="B4871" t="str">
        <f>T("   Soutiens-gorge et bustiers en tous types de matières textiles, même élastiques et même en bonneterie")</f>
        <v xml:space="preserve">   Soutiens-gorge et bustiers en tous types de matières textiles, même élastiques et même en bonneterie</v>
      </c>
      <c r="C4871">
        <v>50000</v>
      </c>
      <c r="D4871">
        <v>20</v>
      </c>
    </row>
    <row r="4872" spans="1:4" x14ac:dyDescent="0.25">
      <c r="A4872" t="str">
        <f>T("   621290")</f>
        <v xml:space="preserve">   621290</v>
      </c>
      <c r="B4872" t="s">
        <v>273</v>
      </c>
      <c r="C4872">
        <v>6293925</v>
      </c>
      <c r="D4872">
        <v>3201</v>
      </c>
    </row>
    <row r="4873" spans="1:4" x14ac:dyDescent="0.25">
      <c r="A4873" t="str">
        <f>T("   621320")</f>
        <v xml:space="preserve">   621320</v>
      </c>
      <c r="B4873" t="str">
        <f>T("   Mouchoirs et pochettes dont un côté &lt;= 60 cm, de coton (autres qu'en bonneterie)")</f>
        <v xml:space="preserve">   Mouchoirs et pochettes dont un côté &lt;= 60 cm, de coton (autres qu'en bonneterie)</v>
      </c>
      <c r="C4873">
        <v>4000000</v>
      </c>
      <c r="D4873">
        <v>1500</v>
      </c>
    </row>
    <row r="4874" spans="1:4" x14ac:dyDescent="0.25">
      <c r="A4874" t="str">
        <f>T("   621420")</f>
        <v xml:space="preserve">   621420</v>
      </c>
      <c r="B4874" t="str">
        <f>T("   Châles, écharpes, foulards, cache-nez, cache-col, mantilles, voiles et voilettes et articles simil., de laine ou poils fins (autres qu'en bonneterie)")</f>
        <v xml:space="preserve">   Châles, écharpes, foulards, cache-nez, cache-col, mantilles, voiles et voilettes et articles simil., de laine ou poils fins (autres qu'en bonneterie)</v>
      </c>
      <c r="C4874">
        <v>45000</v>
      </c>
      <c r="D4874">
        <v>45</v>
      </c>
    </row>
    <row r="4875" spans="1:4" x14ac:dyDescent="0.25">
      <c r="A4875" t="str">
        <f>T("   621490")</f>
        <v xml:space="preserve">   621490</v>
      </c>
      <c r="B4875" t="str">
        <f>T("   Châles, écharpes, foulards, cache-nez, cache-col, mantilles, voiles et voilettes et articles simil., de matières textiles (autres que de laine, poils fins, fibres synthétiques ou artificielles, soie et déchets de soie et autres qu'en bonneterie)")</f>
        <v xml:space="preserve">   Châles, écharpes, foulards, cache-nez, cache-col, mantilles, voiles et voilettes et articles simil., de matières textiles (autres que de laine, poils fins, fibres synthétiques ou artificielles, soie et déchets de soie et autres qu'en bonneterie)</v>
      </c>
      <c r="C4875">
        <v>542087</v>
      </c>
      <c r="D4875">
        <v>1231</v>
      </c>
    </row>
    <row r="4876" spans="1:4" x14ac:dyDescent="0.25">
      <c r="A4876" t="str">
        <f>T("   621590")</f>
        <v xml:space="preserve">   621590</v>
      </c>
      <c r="B4876" t="str">
        <f>T("   Cravates, noeuds papillons et foulards cravates, de matières textiles (autres que fibres synthétiques ou artificielles, soie et déchets de soie et autres qu'en bonneterie)")</f>
        <v xml:space="preserve">   Cravates, noeuds papillons et foulards cravates, de matières textiles (autres que fibres synthétiques ou artificielles, soie et déchets de soie et autres qu'en bonneterie)</v>
      </c>
      <c r="C4876">
        <v>2215493</v>
      </c>
      <c r="D4876">
        <v>453</v>
      </c>
    </row>
    <row r="4877" spans="1:4" x14ac:dyDescent="0.25">
      <c r="A4877" t="str">
        <f>T("   621600")</f>
        <v xml:space="preserve">   621600</v>
      </c>
      <c r="B4877" t="str">
        <f>T("   Gants, mitaines et moufles, en tous types de matières textiles (autres qu'en bonneterie et sauf gants pour bébés)")</f>
        <v xml:space="preserve">   Gants, mitaines et moufles, en tous types de matières textiles (autres qu'en bonneterie et sauf gants pour bébés)</v>
      </c>
      <c r="C4877">
        <v>1521172</v>
      </c>
      <c r="D4877">
        <v>173</v>
      </c>
    </row>
    <row r="4878" spans="1:4" x14ac:dyDescent="0.25">
      <c r="A4878" t="str">
        <f>T("   630190")</f>
        <v xml:space="preserve">   630190</v>
      </c>
      <c r="B4878" t="s">
        <v>274</v>
      </c>
      <c r="C4878">
        <v>1575117</v>
      </c>
      <c r="D4878">
        <v>1360</v>
      </c>
    </row>
    <row r="4879" spans="1:4" x14ac:dyDescent="0.25">
      <c r="A4879" t="str">
        <f>T("   630210")</f>
        <v xml:space="preserve">   630210</v>
      </c>
      <c r="B4879" t="str">
        <f>T("   LINGE DE LIT EN BONNETERIE")</f>
        <v xml:space="preserve">   LINGE DE LIT EN BONNETERIE</v>
      </c>
      <c r="C4879">
        <v>39351</v>
      </c>
      <c r="D4879">
        <v>764</v>
      </c>
    </row>
    <row r="4880" spans="1:4" x14ac:dyDescent="0.25">
      <c r="A4880" t="str">
        <f>T("   630222")</f>
        <v xml:space="preserve">   630222</v>
      </c>
      <c r="B4880" t="str">
        <f>T("   Linge de lit, de fibres synthétiques ou artificielles, imprimé (autres qu'en bonneterie)")</f>
        <v xml:space="preserve">   Linge de lit, de fibres synthétiques ou artificielles, imprimé (autres qu'en bonneterie)</v>
      </c>
      <c r="C4880">
        <v>1132188</v>
      </c>
      <c r="D4880">
        <v>132</v>
      </c>
    </row>
    <row r="4881" spans="1:4" x14ac:dyDescent="0.25">
      <c r="A4881" t="str">
        <f>T("   630229")</f>
        <v xml:space="preserve">   630229</v>
      </c>
      <c r="B4881" t="str">
        <f>T("   Linge de lit, de matières textiles, imprimé (autre que de coton, fibres synthétiques ou artificielles, autres qu'en bonneterie)")</f>
        <v xml:space="preserve">   Linge de lit, de matières textiles, imprimé (autre que de coton, fibres synthétiques ou artificielles, autres qu'en bonneterie)</v>
      </c>
      <c r="C4881">
        <v>363874</v>
      </c>
      <c r="D4881">
        <v>450</v>
      </c>
    </row>
    <row r="4882" spans="1:4" x14ac:dyDescent="0.25">
      <c r="A4882" t="str">
        <f>T("   630231")</f>
        <v xml:space="preserve">   630231</v>
      </c>
      <c r="B4882" t="str">
        <f>T("   Linge de lit de coton (autre qu'imprimé, autre qu'en bonneterie)")</f>
        <v xml:space="preserve">   Linge de lit de coton (autre qu'imprimé, autre qu'en bonneterie)</v>
      </c>
      <c r="C4882">
        <v>20028427</v>
      </c>
      <c r="D4882">
        <v>4622</v>
      </c>
    </row>
    <row r="4883" spans="1:4" x14ac:dyDescent="0.25">
      <c r="A4883" t="str">
        <f>T("   630239")</f>
        <v xml:space="preserve">   630239</v>
      </c>
      <c r="B4883" t="str">
        <f>T("   Linge de lit de matières textiles (autres que de coton, fibres synthétiques ou artificielles, autre qu'imprimé, autre qu'en bonneterie)")</f>
        <v xml:space="preserve">   Linge de lit de matières textiles (autres que de coton, fibres synthétiques ou artificielles, autre qu'imprimé, autre qu'en bonneterie)</v>
      </c>
      <c r="C4883">
        <v>19807368</v>
      </c>
      <c r="D4883">
        <v>2248</v>
      </c>
    </row>
    <row r="4884" spans="1:4" x14ac:dyDescent="0.25">
      <c r="A4884" t="str">
        <f>T("   630253")</f>
        <v xml:space="preserve">   630253</v>
      </c>
      <c r="B4884" t="str">
        <f>T("   Linge de table de fibres synthétiques ou artificielles (autres qu'en bonneterie)")</f>
        <v xml:space="preserve">   Linge de table de fibres synthétiques ou artificielles (autres qu'en bonneterie)</v>
      </c>
      <c r="C4884">
        <v>1245012</v>
      </c>
      <c r="D4884">
        <v>271</v>
      </c>
    </row>
    <row r="4885" spans="1:4" x14ac:dyDescent="0.25">
      <c r="A4885" t="str">
        <f>T("   630259")</f>
        <v xml:space="preserve">   630259</v>
      </c>
      <c r="B4885" t="str">
        <f>T("   LINGE DE TABLE DE MATIÈRES TEXTILES (AUTRE QUE DE COTON, FIBRES SYNTHÉTIQUES OU ARTIFICIELLES, AUTRE QU'EN BONNETERIE)")</f>
        <v xml:space="preserve">   LINGE DE TABLE DE MATIÈRES TEXTILES (AUTRE QUE DE COTON, FIBRES SYNTHÉTIQUES OU ARTIFICIELLES, AUTRE QU'EN BONNETERIE)</v>
      </c>
      <c r="C4885">
        <v>9480592</v>
      </c>
      <c r="D4885">
        <v>1767</v>
      </c>
    </row>
    <row r="4886" spans="1:4" x14ac:dyDescent="0.25">
      <c r="A4886" t="str">
        <f>T("   630260")</f>
        <v xml:space="preserve">   630260</v>
      </c>
      <c r="B4886" t="str">
        <f>T("   Linge de toilette ou de cuisine, bouclé du genre éponge, de coton (sauf serpillières, chiffons à parquet, lavettes et chamoisettes)")</f>
        <v xml:space="preserve">   Linge de toilette ou de cuisine, bouclé du genre éponge, de coton (sauf serpillières, chiffons à parquet, lavettes et chamoisettes)</v>
      </c>
      <c r="C4886">
        <v>18071043</v>
      </c>
      <c r="D4886">
        <v>3851</v>
      </c>
    </row>
    <row r="4887" spans="1:4" x14ac:dyDescent="0.25">
      <c r="A4887" t="str">
        <f>T("   630299")</f>
        <v xml:space="preserve">   630299</v>
      </c>
      <c r="B4887" t="str">
        <f>T("   LINGE DE TOILETTE OU DE CUISINE, DE MATIÈRES TEXTILES (AUTRE QUE DE COTON, FIBRES SYNTHÉTIQUES OU ARTIFICIELLES ET SAUF SERPILLIÈRES, CHIFFONS À PARQUET, LAVETTES ET CHAMOISETTES)")</f>
        <v xml:space="preserve">   LINGE DE TOILETTE OU DE CUISINE, DE MATIÈRES TEXTILES (AUTRE QUE DE COTON, FIBRES SYNTHÉTIQUES OU ARTIFICIELLES ET SAUF SERPILLIÈRES, CHIFFONS À PARQUET, LAVETTES ET CHAMOISETTES)</v>
      </c>
      <c r="C4887">
        <v>2121308</v>
      </c>
      <c r="D4887">
        <v>13250</v>
      </c>
    </row>
    <row r="4888" spans="1:4" x14ac:dyDescent="0.25">
      <c r="A4888" t="str">
        <f>T("   630319")</f>
        <v xml:space="preserve">   630319</v>
      </c>
      <c r="B4888" t="str">
        <f>T("   Vitrages, rideaux et stores d'intérieur ainsi que cantonnières et tours de lit, en bonneterie (autres que de coton et fibres synthétiques et autres que stores d'extérieur)")</f>
        <v xml:space="preserve">   Vitrages, rideaux et stores d'intérieur ainsi que cantonnières et tours de lit, en bonneterie (autres que de coton et fibres synthétiques et autres que stores d'extérieur)</v>
      </c>
      <c r="C4888">
        <v>235000</v>
      </c>
      <c r="D4888">
        <v>200</v>
      </c>
    </row>
    <row r="4889" spans="1:4" x14ac:dyDescent="0.25">
      <c r="A4889" t="str">
        <f>T("   630391")</f>
        <v xml:space="preserve">   630391</v>
      </c>
      <c r="B4889" t="str">
        <f>T("   Vitrages, rideaux et stores d'intérieur ainsi que cantonnières et tours de lit, de coton (autres qu'en bonneterie et autres que stores d'extérieur)")</f>
        <v xml:space="preserve">   Vitrages, rideaux et stores d'intérieur ainsi que cantonnières et tours de lit, de coton (autres qu'en bonneterie et autres que stores d'extérieur)</v>
      </c>
      <c r="C4889">
        <v>8259849</v>
      </c>
      <c r="D4889">
        <v>1286</v>
      </c>
    </row>
    <row r="4890" spans="1:4" x14ac:dyDescent="0.25">
      <c r="A4890" t="str">
        <f>T("   630392")</f>
        <v xml:space="preserve">   630392</v>
      </c>
      <c r="B4890" t="str">
        <f>T("   Vitrages, rideaux et stores d'intérieur ainsi que cantonnières et tours de lit, de fibres synthétiques (autres qu'en bonneterie et autres que stores d'extérieur)")</f>
        <v xml:space="preserve">   Vitrages, rideaux et stores d'intérieur ainsi que cantonnières et tours de lit, de fibres synthétiques (autres qu'en bonneterie et autres que stores d'extérieur)</v>
      </c>
      <c r="C4890">
        <v>20685043</v>
      </c>
      <c r="D4890">
        <v>2971</v>
      </c>
    </row>
    <row r="4891" spans="1:4" x14ac:dyDescent="0.25">
      <c r="A4891" t="str">
        <f>T("   630399")</f>
        <v xml:space="preserve">   630399</v>
      </c>
      <c r="B4891" t="str">
        <f>T("   Vitrages, rideaux et stores d'intérieur ainsi que cantonnières et tours de lit, de matières textiles (autres que de coton et fibres synthétiques, autres qu'en bonneterie et autres que stores d'extérieur)")</f>
        <v xml:space="preserve">   Vitrages, rideaux et stores d'intérieur ainsi que cantonnières et tours de lit, de matières textiles (autres que de coton et fibres synthétiques, autres qu'en bonneterie et autres que stores d'extérieur)</v>
      </c>
      <c r="C4891">
        <v>6906606</v>
      </c>
      <c r="D4891">
        <v>892</v>
      </c>
    </row>
    <row r="4892" spans="1:4" x14ac:dyDescent="0.25">
      <c r="A4892" t="str">
        <f>T("   630499")</f>
        <v xml:space="preserve">   630499</v>
      </c>
      <c r="B4892" t="s">
        <v>277</v>
      </c>
      <c r="C4892">
        <v>1662649</v>
      </c>
      <c r="D4892">
        <v>300</v>
      </c>
    </row>
    <row r="4893" spans="1:4" x14ac:dyDescent="0.25">
      <c r="A4893" t="str">
        <f>T("   630510")</f>
        <v xml:space="preserve">   630510</v>
      </c>
      <c r="B4893" t="str">
        <f>T("   Sacs et sachets d'emballage de jute ou d'autres fibres textiles libériennes du n° 5303")</f>
        <v xml:space="preserve">   Sacs et sachets d'emballage de jute ou d'autres fibres textiles libériennes du n° 5303</v>
      </c>
      <c r="C4893">
        <v>1771584</v>
      </c>
      <c r="D4893">
        <v>7500</v>
      </c>
    </row>
    <row r="4894" spans="1:4" x14ac:dyDescent="0.25">
      <c r="A4894" t="str">
        <f>T("   630532")</f>
        <v xml:space="preserve">   630532</v>
      </c>
      <c r="B4894" t="str">
        <f>T("   Contenants souples d'emballage pour matières en vrac, de matières textiles synthétiques ou artificielles")</f>
        <v xml:space="preserve">   Contenants souples d'emballage pour matières en vrac, de matières textiles synthétiques ou artificielles</v>
      </c>
      <c r="C4894">
        <v>98002</v>
      </c>
      <c r="D4894">
        <v>5204</v>
      </c>
    </row>
    <row r="4895" spans="1:4" x14ac:dyDescent="0.25">
      <c r="A4895" t="str">
        <f>T("   630533")</f>
        <v xml:space="preserve">   630533</v>
      </c>
      <c r="B4895" t="str">
        <f>T("   Sacs et sachets d'emballage obtenus à partir de lames ou formes simil., de polyéthylène ou polypropylène (à l'excl. des contenants souples pour matières en vrac)")</f>
        <v xml:space="preserve">   Sacs et sachets d'emballage obtenus à partir de lames ou formes simil., de polyéthylène ou polypropylène (à l'excl. des contenants souples pour matières en vrac)</v>
      </c>
      <c r="C4895">
        <v>2889724</v>
      </c>
      <c r="D4895">
        <v>1607</v>
      </c>
    </row>
    <row r="4896" spans="1:4" x14ac:dyDescent="0.25">
      <c r="A4896" t="str">
        <f>T("   630539")</f>
        <v xml:space="preserve">   630539</v>
      </c>
      <c r="B4896" t="str">
        <f>T("   Sacs et sachets d'emballage de matières synthétiques ou artificielles (autres qu'en lames ou formes simil. de polyéthylène ou de polypropylène ainsi que contenants souples pour matières en vrac)")</f>
        <v xml:space="preserve">   Sacs et sachets d'emballage de matières synthétiques ou artificielles (autres qu'en lames ou formes simil. de polyéthylène ou de polypropylène ainsi que contenants souples pour matières en vrac)</v>
      </c>
      <c r="C4896">
        <v>101018</v>
      </c>
      <c r="D4896">
        <v>80</v>
      </c>
    </row>
    <row r="4897" spans="1:4" x14ac:dyDescent="0.25">
      <c r="A4897" t="str">
        <f>T("   630590")</f>
        <v xml:space="preserve">   630590</v>
      </c>
      <c r="B4897" t="str">
        <f>T("   Sacs et sachets d'emballage de matières textiles (autres qu'en matières textiles synthétiques ou artificielles, coton, jute ou autres fibres textiles libérienne du n° 5303)")</f>
        <v xml:space="preserve">   Sacs et sachets d'emballage de matières textiles (autres qu'en matières textiles synthétiques ou artificielles, coton, jute ou autres fibres textiles libérienne du n° 5303)</v>
      </c>
      <c r="C4897">
        <v>845121</v>
      </c>
      <c r="D4897">
        <v>280</v>
      </c>
    </row>
    <row r="4898" spans="1:4" x14ac:dyDescent="0.25">
      <c r="A4898" t="str">
        <f>T("   630612")</f>
        <v xml:space="preserve">   630612</v>
      </c>
      <c r="B4898" t="str">
        <f>T("   Bâches et stores d'extérieur de fibres synthétiques (sauf auvents plats en tissus légers, confectionnés selon le type de bâche)")</f>
        <v xml:space="preserve">   Bâches et stores d'extérieur de fibres synthétiques (sauf auvents plats en tissus légers, confectionnés selon le type de bâche)</v>
      </c>
      <c r="C4898">
        <v>3811617</v>
      </c>
      <c r="D4898">
        <v>2740</v>
      </c>
    </row>
    <row r="4899" spans="1:4" x14ac:dyDescent="0.25">
      <c r="A4899" t="str">
        <f>T("   630619")</f>
        <v xml:space="preserve">   630619</v>
      </c>
      <c r="B4899" t="str">
        <f>T("   Bâches et stores d'extérieur de matières textiles (autres que de coton ou fibres synthétiques et sauf auvents plats en tissus légers, confectionnés selon le type de bâche)")</f>
        <v xml:space="preserve">   Bâches et stores d'extérieur de matières textiles (autres que de coton ou fibres synthétiques et sauf auvents plats en tissus légers, confectionnés selon le type de bâche)</v>
      </c>
      <c r="C4899">
        <v>180000</v>
      </c>
      <c r="D4899">
        <v>2000</v>
      </c>
    </row>
    <row r="4900" spans="1:4" x14ac:dyDescent="0.25">
      <c r="A4900" t="str">
        <f>T("   630629")</f>
        <v xml:space="preserve">   630629</v>
      </c>
      <c r="B4900" t="str">
        <f>T("   Tentes de matières textiles (autres que de coton ou fibres synthétiques et sauf paravents)")</f>
        <v xml:space="preserve">   Tentes de matières textiles (autres que de coton ou fibres synthétiques et sauf paravents)</v>
      </c>
      <c r="C4900">
        <v>313549</v>
      </c>
      <c r="D4900">
        <v>0.5</v>
      </c>
    </row>
    <row r="4901" spans="1:4" x14ac:dyDescent="0.25">
      <c r="A4901" t="str">
        <f>T("   630641")</f>
        <v xml:space="preserve">   630641</v>
      </c>
      <c r="B4901" t="str">
        <f>T("   MATELAS PNEUMATIQUES DE COTON")</f>
        <v xml:space="preserve">   MATELAS PNEUMATIQUES DE COTON</v>
      </c>
      <c r="C4901">
        <v>100000</v>
      </c>
      <c r="D4901">
        <v>110</v>
      </c>
    </row>
    <row r="4902" spans="1:4" x14ac:dyDescent="0.25">
      <c r="A4902" t="str">
        <f>T("   630699")</f>
        <v xml:space="preserve">   630699</v>
      </c>
      <c r="B4902" t="str">
        <f>T("   Articles de camping, de matières textiles (autres que de coton et sauf tentes et matelas pneumatiques, stores d'extérieur, voiles, sacs à dos, sacs à bandoulière et conditionnements simil. et sauf sacs de couchage, matelas et coussins rembourrés)")</f>
        <v xml:space="preserve">   Articles de camping, de matières textiles (autres que de coton et sauf tentes et matelas pneumatiques, stores d'extérieur, voiles, sacs à dos, sacs à bandoulière et conditionnements simil. et sauf sacs de couchage, matelas et coussins rembourrés)</v>
      </c>
      <c r="C4902">
        <v>6206817</v>
      </c>
      <c r="D4902">
        <v>2698</v>
      </c>
    </row>
    <row r="4903" spans="1:4" x14ac:dyDescent="0.25">
      <c r="A4903" t="str">
        <f>T("   630710")</f>
        <v xml:space="preserve">   630710</v>
      </c>
      <c r="B4903" t="str">
        <f>T("   Serpillières ou wassingues, lavettes, chamoisettes et articles d'entretien simil. en tous types de matières textiles")</f>
        <v xml:space="preserve">   Serpillières ou wassingues, lavettes, chamoisettes et articles d'entretien simil. en tous types de matières textiles</v>
      </c>
      <c r="C4903">
        <v>35440549</v>
      </c>
      <c r="D4903">
        <v>16295</v>
      </c>
    </row>
    <row r="4904" spans="1:4" x14ac:dyDescent="0.25">
      <c r="A4904" t="str">
        <f>T("   630720")</f>
        <v xml:space="preserve">   630720</v>
      </c>
      <c r="B4904" t="str">
        <f>T("   Ceintures et gilets de sauvetage en tous types de matières textiles")</f>
        <v xml:space="preserve">   Ceintures et gilets de sauvetage en tous types de matières textiles</v>
      </c>
      <c r="C4904">
        <v>7641554</v>
      </c>
      <c r="D4904">
        <v>590</v>
      </c>
    </row>
    <row r="4905" spans="1:4" x14ac:dyDescent="0.25">
      <c r="A4905" t="str">
        <f>T("   630790")</f>
        <v xml:space="preserve">   630790</v>
      </c>
      <c r="B4905" t="str">
        <f>T("   Articles de matières textiles, confectionnés, y.c. les patrons de vêtements n.d.a.")</f>
        <v xml:space="preserve">   Articles de matières textiles, confectionnés, y.c. les patrons de vêtements n.d.a.</v>
      </c>
      <c r="C4905">
        <v>17503361</v>
      </c>
      <c r="D4905">
        <v>4390.6000000000004</v>
      </c>
    </row>
    <row r="4906" spans="1:4" x14ac:dyDescent="0.25">
      <c r="A4906" t="str">
        <f>T("   630900")</f>
        <v xml:space="preserve">   630900</v>
      </c>
      <c r="B4906" t="s">
        <v>278</v>
      </c>
      <c r="C4906">
        <v>697976822</v>
      </c>
      <c r="D4906">
        <v>1365728.85</v>
      </c>
    </row>
    <row r="4907" spans="1:4" x14ac:dyDescent="0.25">
      <c r="A4907" t="str">
        <f>T("   631090")</f>
        <v xml:space="preserve">   631090</v>
      </c>
      <c r="B4907" t="str">
        <f>T("   Chiffons en tous types de matières textiles ainsi que ficelles, cordes et cordages et articles composés de ceux-ci, de matières textiles, sous forme de déchets ou d'articles hors d'usage, non triés")</f>
        <v xml:space="preserve">   Chiffons en tous types de matières textiles ainsi que ficelles, cordes et cordages et articles composés de ceux-ci, de matières textiles, sous forme de déchets ou d'articles hors d'usage, non triés</v>
      </c>
      <c r="C4907">
        <v>664227</v>
      </c>
      <c r="D4907">
        <v>1200</v>
      </c>
    </row>
    <row r="4908" spans="1:4" x14ac:dyDescent="0.25">
      <c r="A4908" t="str">
        <f>T("   640110")</f>
        <v xml:space="preserve">   640110</v>
      </c>
      <c r="B4908" t="s">
        <v>279</v>
      </c>
      <c r="C4908">
        <v>3851798</v>
      </c>
      <c r="D4908">
        <v>721</v>
      </c>
    </row>
    <row r="4909" spans="1:4" x14ac:dyDescent="0.25">
      <c r="A4909" t="str">
        <f>T("   640191")</f>
        <v xml:space="preserve">   640191</v>
      </c>
      <c r="B4909" t="s">
        <v>279</v>
      </c>
      <c r="C4909">
        <v>2501670</v>
      </c>
      <c r="D4909">
        <v>1280</v>
      </c>
    </row>
    <row r="4910" spans="1:4" x14ac:dyDescent="0.25">
      <c r="A4910" t="str">
        <f>T("   640192")</f>
        <v xml:space="preserve">   640192</v>
      </c>
      <c r="B4910" t="s">
        <v>280</v>
      </c>
      <c r="C4910">
        <v>11556048</v>
      </c>
      <c r="D4910">
        <v>6704</v>
      </c>
    </row>
    <row r="4911" spans="1:4" x14ac:dyDescent="0.25">
      <c r="A4911" t="str">
        <f>T("   640199")</f>
        <v xml:space="preserve">   640199</v>
      </c>
      <c r="B4911" t="s">
        <v>279</v>
      </c>
      <c r="C4911">
        <v>9059030</v>
      </c>
      <c r="D4911">
        <v>1914</v>
      </c>
    </row>
    <row r="4912" spans="1:4" x14ac:dyDescent="0.25">
      <c r="A4912" t="str">
        <f>T("   640219")</f>
        <v xml:space="preserve">   640219</v>
      </c>
      <c r="B4912" t="s">
        <v>281</v>
      </c>
      <c r="C4912">
        <v>6591581</v>
      </c>
      <c r="D4912">
        <v>988</v>
      </c>
    </row>
    <row r="4913" spans="1:4" x14ac:dyDescent="0.25">
      <c r="A4913" t="str">
        <f>T("   640220")</f>
        <v xml:space="preserve">   640220</v>
      </c>
      <c r="B4913" t="str">
        <f>T("   Chaussures à semelles extérieures et dessus en caoutchouc ou en matière plastique, à dessus en lanières ou brides fixées à la semelle par des tétons (sauf chaussures ayant le caractère de jouets)")</f>
        <v xml:space="preserve">   Chaussures à semelles extérieures et dessus en caoutchouc ou en matière plastique, à dessus en lanières ou brides fixées à la semelle par des tétons (sauf chaussures ayant le caractère de jouets)</v>
      </c>
      <c r="C4913">
        <v>1279724</v>
      </c>
      <c r="D4913">
        <v>2000</v>
      </c>
    </row>
    <row r="4914" spans="1:4" x14ac:dyDescent="0.25">
      <c r="A4914" t="str">
        <f>T("   640230")</f>
        <v xml:space="preserve">   640230</v>
      </c>
      <c r="B4914" t="s">
        <v>282</v>
      </c>
      <c r="C4914">
        <v>28206</v>
      </c>
      <c r="D4914">
        <v>1</v>
      </c>
    </row>
    <row r="4915" spans="1:4" x14ac:dyDescent="0.25">
      <c r="A4915" t="str">
        <f>T("   640299")</f>
        <v xml:space="preserve">   640299</v>
      </c>
      <c r="B4915" t="s">
        <v>283</v>
      </c>
      <c r="C4915">
        <v>12169350</v>
      </c>
      <c r="D4915">
        <v>10415</v>
      </c>
    </row>
    <row r="4916" spans="1:4" x14ac:dyDescent="0.25">
      <c r="A4916" t="str">
        <f>T("   640319")</f>
        <v xml:space="preserve">   640319</v>
      </c>
      <c r="B4916" t="s">
        <v>284</v>
      </c>
      <c r="C4916">
        <v>2324106</v>
      </c>
      <c r="D4916">
        <v>294</v>
      </c>
    </row>
    <row r="4917" spans="1:4" x14ac:dyDescent="0.25">
      <c r="A4917" t="str">
        <f>T("   640320")</f>
        <v xml:space="preserve">   640320</v>
      </c>
      <c r="B4917" t="str">
        <f>T("   Chaussures à semelles extérieures en cuir naturel et dessus constitués de lanières en cuir naturel passant sur le cou-de-pied et entourant le gros orteil")</f>
        <v xml:space="preserve">   Chaussures à semelles extérieures en cuir naturel et dessus constitués de lanières en cuir naturel passant sur le cou-de-pied et entourant le gros orteil</v>
      </c>
      <c r="C4917">
        <v>267000</v>
      </c>
      <c r="D4917">
        <v>162</v>
      </c>
    </row>
    <row r="4918" spans="1:4" x14ac:dyDescent="0.25">
      <c r="A4918" t="str">
        <f>T("   640340")</f>
        <v xml:space="preserve">   640340</v>
      </c>
      <c r="B4918" t="str">
        <f>T("   Chaussures, à semelles extérieures en caoutchouc, matière plastique, cuir naturel ou reconstitué et dessus en cuir naturel, comportant à l'avant une coquille de protection en métal (sauf chaussures de sport ou d'orthopédie)")</f>
        <v xml:space="preserve">   Chaussures, à semelles extérieures en caoutchouc, matière plastique, cuir naturel ou reconstitué et dessus en cuir naturel, comportant à l'avant une coquille de protection en métal (sauf chaussures de sport ou d'orthopédie)</v>
      </c>
      <c r="C4918">
        <v>64078291</v>
      </c>
      <c r="D4918">
        <v>10034</v>
      </c>
    </row>
    <row r="4919" spans="1:4" x14ac:dyDescent="0.25">
      <c r="A4919" t="str">
        <f>T("   640411")</f>
        <v xml:space="preserve">   640411</v>
      </c>
      <c r="B4919" t="str">
        <f>T("   Chaussures de sport, y.c. chaussures dites de tennis, de basket-ball, de gymnastique, d'entraînement et chaussures simil., à semelles extérieures en caoutchouc ou en matière plastique, à dessus en matières textiles")</f>
        <v xml:space="preserve">   Chaussures de sport, y.c. chaussures dites de tennis, de basket-ball, de gymnastique, d'entraînement et chaussures simil., à semelles extérieures en caoutchouc ou en matière plastique, à dessus en matières textiles</v>
      </c>
      <c r="C4919">
        <v>7283124</v>
      </c>
      <c r="D4919">
        <v>994</v>
      </c>
    </row>
    <row r="4920" spans="1:4" x14ac:dyDescent="0.25">
      <c r="A4920" t="str">
        <f>T("   640419")</f>
        <v xml:space="preserve">   640419</v>
      </c>
      <c r="B4920" t="s">
        <v>288</v>
      </c>
      <c r="C4920">
        <v>8207057</v>
      </c>
      <c r="D4920">
        <v>22247</v>
      </c>
    </row>
    <row r="4921" spans="1:4" x14ac:dyDescent="0.25">
      <c r="A4921" t="str">
        <f>T("   640510")</f>
        <v xml:space="preserve">   640510</v>
      </c>
      <c r="B4921" t="str">
        <f>T("   Chaussures à dessus en cuir naturel ou reconstitué (sauf à semelles extérieures en caoutchouc, matière plastique, cuir naturel ou reconstitué et à dessus en cuir naturel et sauf chaussures d'orthopédie et chaussures ayant le caractère de jouets)")</f>
        <v xml:space="preserve">   Chaussures à dessus en cuir naturel ou reconstitué (sauf à semelles extérieures en caoutchouc, matière plastique, cuir naturel ou reconstitué et à dessus en cuir naturel et sauf chaussures d'orthopédie et chaussures ayant le caractère de jouets)</v>
      </c>
      <c r="C4921">
        <v>167926</v>
      </c>
      <c r="D4921">
        <v>30</v>
      </c>
    </row>
    <row r="4922" spans="1:4" x14ac:dyDescent="0.25">
      <c r="A4922" t="str">
        <f>T("   640590")</f>
        <v xml:space="preserve">   640590</v>
      </c>
      <c r="B4922" t="s">
        <v>289</v>
      </c>
      <c r="C4922">
        <v>19101054</v>
      </c>
      <c r="D4922">
        <v>15672</v>
      </c>
    </row>
    <row r="4923" spans="1:4" x14ac:dyDescent="0.25">
      <c r="A4923" t="str">
        <f>T("   640699")</f>
        <v xml:space="preserve">   640699</v>
      </c>
      <c r="B4923" t="str">
        <f>T("   Parties de chaussures (sauf semelles extérieures et talons en caoutchouc ou matière plastique, dessus de chaussures et leurs parties et sauf parties en général en bois ou en amiante)")</f>
        <v xml:space="preserve">   Parties de chaussures (sauf semelles extérieures et talons en caoutchouc ou matière plastique, dessus de chaussures et leurs parties et sauf parties en général en bois ou en amiante)</v>
      </c>
      <c r="C4923">
        <v>1480876</v>
      </c>
      <c r="D4923">
        <v>139</v>
      </c>
    </row>
    <row r="4924" spans="1:4" x14ac:dyDescent="0.25">
      <c r="A4924" t="str">
        <f>T("   650100")</f>
        <v xml:space="preserve">   650100</v>
      </c>
      <c r="B4924" t="str">
        <f>T("   Cloches non dressées -mises en forme- ni tournurées -mises en tournure-, en feutre, plateaux - disques-, manchons -cylindres- même fendus dans le sens de la hauteur, en feutre, pour chapeaux")</f>
        <v xml:space="preserve">   Cloches non dressées -mises en forme- ni tournurées -mises en tournure-, en feutre, plateaux - disques-, manchons -cylindres- même fendus dans le sens de la hauteur, en feutre, pour chapeaux</v>
      </c>
      <c r="C4924">
        <v>11336</v>
      </c>
      <c r="D4924">
        <v>30</v>
      </c>
    </row>
    <row r="4925" spans="1:4" x14ac:dyDescent="0.25">
      <c r="A4925" t="str">
        <f>T("   650300")</f>
        <v xml:space="preserve">   650300</v>
      </c>
      <c r="B4925" t="str">
        <f>T("   Chapeaux et autres coiffures en feutre, fabriqués à l'aide des cloches ou des plateaux du n° 6501, même garnis (sauf ceux fabriqués par l'assemblage de bandes ou de pièces en feutre ou ayant le caractère de jouets ou d'articles de carnaval)")</f>
        <v xml:space="preserve">   Chapeaux et autres coiffures en feutre, fabriqués à l'aide des cloches ou des plateaux du n° 6501, même garnis (sauf ceux fabriqués par l'assemblage de bandes ou de pièces en feutre ou ayant le caractère de jouets ou d'articles de carnaval)</v>
      </c>
      <c r="C4925">
        <v>292230</v>
      </c>
      <c r="D4925">
        <v>101</v>
      </c>
    </row>
    <row r="4926" spans="1:4" x14ac:dyDescent="0.25">
      <c r="A4926" t="str">
        <f>T("   650400")</f>
        <v xml:space="preserve">   650400</v>
      </c>
      <c r="B4926" t="str">
        <f>T("   Chapeaux et autres coiffures, tressés ou fabriqués par l'assemblage de bandes en toutes matières, même garnis (sauf coiffures pour animaux ou ayant le caractère de jouets ou d'articles de carnaval)")</f>
        <v xml:space="preserve">   Chapeaux et autres coiffures, tressés ou fabriqués par l'assemblage de bandes en toutes matières, même garnis (sauf coiffures pour animaux ou ayant le caractère de jouets ou d'articles de carnaval)</v>
      </c>
      <c r="C4926">
        <v>369942</v>
      </c>
      <c r="D4926">
        <v>24</v>
      </c>
    </row>
    <row r="4927" spans="1:4" x14ac:dyDescent="0.25">
      <c r="A4927" t="str">
        <f>T("   650590")</f>
        <v xml:space="preserve">   650590</v>
      </c>
      <c r="B4927" t="s">
        <v>290</v>
      </c>
      <c r="C4927">
        <v>8357508</v>
      </c>
      <c r="D4927">
        <v>1690</v>
      </c>
    </row>
    <row r="4928" spans="1:4" x14ac:dyDescent="0.25">
      <c r="A4928" t="str">
        <f>T("   650610")</f>
        <v xml:space="preserve">   650610</v>
      </c>
      <c r="B4928" t="str">
        <f>T("   Coiffures de sécurité, même garnies")</f>
        <v xml:space="preserve">   Coiffures de sécurité, même garnies</v>
      </c>
      <c r="C4928">
        <v>14359292</v>
      </c>
      <c r="D4928">
        <v>6830.4</v>
      </c>
    </row>
    <row r="4929" spans="1:4" x14ac:dyDescent="0.25">
      <c r="A4929" t="str">
        <f>T("   650691")</f>
        <v xml:space="preserve">   650691</v>
      </c>
      <c r="B4929" t="s">
        <v>291</v>
      </c>
      <c r="C4929">
        <v>430122</v>
      </c>
      <c r="D4929">
        <v>1104</v>
      </c>
    </row>
    <row r="4930" spans="1:4" x14ac:dyDescent="0.25">
      <c r="A4930" t="str">
        <f>T("   650699")</f>
        <v xml:space="preserve">   650699</v>
      </c>
      <c r="B4930" t="str">
        <f>T("   Chapeaux et autres coiffures, même garnis, n.d.a.")</f>
        <v xml:space="preserve">   Chapeaux et autres coiffures, même garnis, n.d.a.</v>
      </c>
      <c r="C4930">
        <v>707125</v>
      </c>
      <c r="D4930">
        <v>766</v>
      </c>
    </row>
    <row r="4931" spans="1:4" x14ac:dyDescent="0.25">
      <c r="A4931" t="str">
        <f>T("   650700")</f>
        <v xml:space="preserve">   650700</v>
      </c>
      <c r="B4931" t="str">
        <f>T("   Bandes pour garniture intérieure, coiffes, couvre-coiffures, carcasses, visières et jugulaires pour la chapellerie (sauf les bandeaux utilisés par les sportifs comme protection contre les gouttes de transpiration, en bonneterie)")</f>
        <v xml:space="preserve">   Bandes pour garniture intérieure, coiffes, couvre-coiffures, carcasses, visières et jugulaires pour la chapellerie (sauf les bandeaux utilisés par les sportifs comme protection contre les gouttes de transpiration, en bonneterie)</v>
      </c>
      <c r="C4931">
        <v>66908</v>
      </c>
      <c r="D4931">
        <v>15</v>
      </c>
    </row>
    <row r="4932" spans="1:4" x14ac:dyDescent="0.25">
      <c r="A4932" t="str">
        <f>T("   660110")</f>
        <v xml:space="preserve">   660110</v>
      </c>
      <c r="B4932" t="str">
        <f>T("   Parasols de jardin et articles simil. (sauf tentes de plage)")</f>
        <v xml:space="preserve">   Parasols de jardin et articles simil. (sauf tentes de plage)</v>
      </c>
      <c r="C4932">
        <v>10154747</v>
      </c>
      <c r="D4932">
        <v>923</v>
      </c>
    </row>
    <row r="4933" spans="1:4" x14ac:dyDescent="0.25">
      <c r="A4933" t="str">
        <f>T("   660191")</f>
        <v xml:space="preserve">   660191</v>
      </c>
      <c r="B4933" t="str">
        <f>T("   Parapluies, y.c. les parapluies-cannes et ombrelles, à mât ou à manche télescopique (sauf jouets d'enfants)")</f>
        <v xml:space="preserve">   Parapluies, y.c. les parapluies-cannes et ombrelles, à mât ou à manche télescopique (sauf jouets d'enfants)</v>
      </c>
      <c r="C4933">
        <v>4486766</v>
      </c>
      <c r="D4933">
        <v>347</v>
      </c>
    </row>
    <row r="4934" spans="1:4" x14ac:dyDescent="0.25">
      <c r="A4934" t="str">
        <f>T("   660199")</f>
        <v xml:space="preserve">   660199</v>
      </c>
      <c r="B4934" t="str">
        <f>T("   Parapluies, y.c. les parapluies-cannes et ombrelles (sauf parapluies et ombrelles à mât ou à manche télescopique, parasols de jardin et articles simil. et sauf jouets d'enfants)")</f>
        <v xml:space="preserve">   Parapluies, y.c. les parapluies-cannes et ombrelles (sauf parapluies et ombrelles à mât ou à manche télescopique, parasols de jardin et articles simil. et sauf jouets d'enfants)</v>
      </c>
      <c r="C4934">
        <v>7667987</v>
      </c>
      <c r="D4934">
        <v>1659</v>
      </c>
    </row>
    <row r="4935" spans="1:4" x14ac:dyDescent="0.25">
      <c r="A4935" t="str">
        <f>T("   660200")</f>
        <v xml:space="preserve">   660200</v>
      </c>
      <c r="B4935" t="str">
        <f>T("   Cannes, cannes-sièges, fouets, cravaches et articles simil. (sauf cannes-mesures, béquilles, cannes ayant le caractère d'armes et cannes de sport)")</f>
        <v xml:space="preserve">   Cannes, cannes-sièges, fouets, cravaches et articles simil. (sauf cannes-mesures, béquilles, cannes ayant le caractère d'armes et cannes de sport)</v>
      </c>
      <c r="C4935">
        <v>772472</v>
      </c>
      <c r="D4935">
        <v>771.2</v>
      </c>
    </row>
    <row r="4936" spans="1:4" x14ac:dyDescent="0.25">
      <c r="A4936" t="str">
        <f>T("   670210")</f>
        <v xml:space="preserve">   670210</v>
      </c>
      <c r="B4936" t="str">
        <f>T("   Fleurs, feuillages et fruits artificiels, y.c. leurs parties; articles confectionnés en fleurs, feuillages ou fruits artificiels fabriqués par ligature, collage, emboîtage ou procédés simil., en matières plastiques")</f>
        <v xml:space="preserve">   Fleurs, feuillages et fruits artificiels, y.c. leurs parties; articles confectionnés en fleurs, feuillages ou fruits artificiels fabriqués par ligature, collage, emboîtage ou procédés simil., en matières plastiques</v>
      </c>
      <c r="C4936">
        <v>6653402</v>
      </c>
      <c r="D4936">
        <v>6911</v>
      </c>
    </row>
    <row r="4937" spans="1:4" x14ac:dyDescent="0.25">
      <c r="A4937" t="str">
        <f>T("   670290")</f>
        <v xml:space="preserve">   670290</v>
      </c>
      <c r="B4937" t="str">
        <f>T("   Fleurs, feuillages et fruits artificiels, y.c. leurs parties; articles confectionnés en fleurs, feuillages ou fruits artificiels fabriqués par ligature, collage, emboîtage ou procédés simil. (autres qu'en matière plastique)")</f>
        <v xml:space="preserve">   Fleurs, feuillages et fruits artificiels, y.c. leurs parties; articles confectionnés en fleurs, feuillages ou fruits artificiels fabriqués par ligature, collage, emboîtage ou procédés simil. (autres qu'en matière plastique)</v>
      </c>
      <c r="C4937">
        <v>17713480</v>
      </c>
      <c r="D4937">
        <v>4491</v>
      </c>
    </row>
    <row r="4938" spans="1:4" x14ac:dyDescent="0.25">
      <c r="A4938" t="str">
        <f>T("   670419")</f>
        <v xml:space="preserve">   670419</v>
      </c>
      <c r="B4938" t="str">
        <f>T("   Barbes, sourcils, cils, mèches et articles simil., en matières textiles synthétiques (sauf perruques complètes)")</f>
        <v xml:space="preserve">   Barbes, sourcils, cils, mèches et articles simil., en matières textiles synthétiques (sauf perruques complètes)</v>
      </c>
      <c r="C4938">
        <v>393192</v>
      </c>
      <c r="D4938">
        <v>500</v>
      </c>
    </row>
    <row r="4939" spans="1:4" x14ac:dyDescent="0.25">
      <c r="A4939" t="str">
        <f>T("   680210")</f>
        <v xml:space="preserve">   680210</v>
      </c>
      <c r="B4939" t="s">
        <v>292</v>
      </c>
      <c r="C4939">
        <v>17415839</v>
      </c>
      <c r="D4939">
        <v>170539</v>
      </c>
    </row>
    <row r="4940" spans="1:4" x14ac:dyDescent="0.25">
      <c r="A4940" t="str">
        <f>T("   680221")</f>
        <v xml:space="preserve">   680221</v>
      </c>
      <c r="B4940" t="s">
        <v>293</v>
      </c>
      <c r="C4940">
        <v>6408430</v>
      </c>
      <c r="D4940">
        <v>44880</v>
      </c>
    </row>
    <row r="4941" spans="1:4" x14ac:dyDescent="0.25">
      <c r="A4941" t="str">
        <f>T("   680410")</f>
        <v xml:space="preserve">   680410</v>
      </c>
      <c r="B4941" t="str">
        <f>T("   Meules à moudre ou à défibrer (sans bâtis), en pierres naturelles, en abrasifs naturels ou artificiels agglomérés ou en céramique")</f>
        <v xml:space="preserve">   Meules à moudre ou à défibrer (sans bâtis), en pierres naturelles, en abrasifs naturels ou artificiels agglomérés ou en céramique</v>
      </c>
      <c r="C4941">
        <v>3071860</v>
      </c>
      <c r="D4941">
        <v>1255</v>
      </c>
    </row>
    <row r="4942" spans="1:4" x14ac:dyDescent="0.25">
      <c r="A4942" t="str">
        <f>T("   680421")</f>
        <v xml:space="preserve">   680421</v>
      </c>
      <c r="B4942" t="s">
        <v>297</v>
      </c>
      <c r="C4942">
        <v>3218796</v>
      </c>
      <c r="D4942">
        <v>609</v>
      </c>
    </row>
    <row r="4943" spans="1:4" x14ac:dyDescent="0.25">
      <c r="A4943" t="str">
        <f>T("   680422")</f>
        <v xml:space="preserve">   680422</v>
      </c>
      <c r="B4943" t="s">
        <v>298</v>
      </c>
      <c r="C4943">
        <v>2922315</v>
      </c>
      <c r="D4943">
        <v>3187</v>
      </c>
    </row>
    <row r="4944" spans="1:4" x14ac:dyDescent="0.25">
      <c r="A4944" t="str">
        <f>T("   680423")</f>
        <v xml:space="preserve">   680423</v>
      </c>
      <c r="B4944" t="s">
        <v>299</v>
      </c>
      <c r="C4944">
        <v>173829</v>
      </c>
      <c r="D4944">
        <v>6</v>
      </c>
    </row>
    <row r="4945" spans="1:4" x14ac:dyDescent="0.25">
      <c r="A4945" t="str">
        <f>T("   680430")</f>
        <v xml:space="preserve">   680430</v>
      </c>
      <c r="B4945" t="str">
        <f>T("   Pierres à aiguiser ou à polir à la main")</f>
        <v xml:space="preserve">   Pierres à aiguiser ou à polir à la main</v>
      </c>
      <c r="C4945">
        <v>2895200</v>
      </c>
      <c r="D4945">
        <v>8073</v>
      </c>
    </row>
    <row r="4946" spans="1:4" x14ac:dyDescent="0.25">
      <c r="A4946" t="str">
        <f>T("   680520")</f>
        <v xml:space="preserve">   680520</v>
      </c>
      <c r="B4946" t="str">
        <f>T("   ABRASIFS NATURELS OU ARTIFICIELS EN POUDRE OU EN GRAINS, APPLIQUÉS SUR FOND EN MATIÈRES TEXTILES SEULEMENT, MÊME DÉCOUPÉS, COUSUS OU AUTREMENT ASSEMBLÉS")</f>
        <v xml:space="preserve">   ABRASIFS NATURELS OU ARTIFICIELS EN POUDRE OU EN GRAINS, APPLIQUÉS SUR FOND EN MATIÈRES TEXTILES SEULEMENT, MÊME DÉCOUPÉS, COUSUS OU AUTREMENT ASSEMBLÉS</v>
      </c>
      <c r="C4946">
        <v>11154957</v>
      </c>
      <c r="D4946">
        <v>8077</v>
      </c>
    </row>
    <row r="4947" spans="1:4" x14ac:dyDescent="0.25">
      <c r="A4947" t="str">
        <f>T("   680530")</f>
        <v xml:space="preserve">   680530</v>
      </c>
      <c r="B4947" t="str">
        <f>T("   Abrasifs naturels ou artificiels en poudre ou en grains, appliqués sur un autre fond que des matières textiles seulement ou que du papier ou du carton seulement, même découpés, cousus ou autrement assemblés")</f>
        <v xml:space="preserve">   Abrasifs naturels ou artificiels en poudre ou en grains, appliqués sur un autre fond que des matières textiles seulement ou que du papier ou du carton seulement, même découpés, cousus ou autrement assemblés</v>
      </c>
      <c r="C4947">
        <v>6679344</v>
      </c>
      <c r="D4947">
        <v>2572</v>
      </c>
    </row>
    <row r="4948" spans="1:4" x14ac:dyDescent="0.25">
      <c r="A4948" t="str">
        <f>T("   680690")</f>
        <v xml:space="preserve">   680690</v>
      </c>
      <c r="B4948" t="s">
        <v>300</v>
      </c>
      <c r="C4948">
        <v>32322429</v>
      </c>
      <c r="D4948">
        <v>19094</v>
      </c>
    </row>
    <row r="4949" spans="1:4" x14ac:dyDescent="0.25">
      <c r="A4949" t="str">
        <f>T("   680710")</f>
        <v xml:space="preserve">   680710</v>
      </c>
      <c r="B4949" t="str">
        <f>T("   Ouvrages en asphalte ou en produits simil., p.ex. poix de pétrole, brais, en rouleaux")</f>
        <v xml:space="preserve">   Ouvrages en asphalte ou en produits simil., p.ex. poix de pétrole, brais, en rouleaux</v>
      </c>
      <c r="C4949">
        <v>148145830</v>
      </c>
      <c r="D4949">
        <v>274853</v>
      </c>
    </row>
    <row r="4950" spans="1:4" x14ac:dyDescent="0.25">
      <c r="A4950" t="str">
        <f>T("   680790")</f>
        <v xml:space="preserve">   680790</v>
      </c>
      <c r="B4950" t="str">
        <f>T("   Ouvrages en asphalte ou en produits simil., p.ex. poix de pétrole, brais (autres qu'en rouleaux)")</f>
        <v xml:space="preserve">   Ouvrages en asphalte ou en produits simil., p.ex. poix de pétrole, brais (autres qu'en rouleaux)</v>
      </c>
      <c r="C4950">
        <v>5651535</v>
      </c>
      <c r="D4950">
        <v>9657</v>
      </c>
    </row>
    <row r="4951" spans="1:4" x14ac:dyDescent="0.25">
      <c r="A4951" t="str">
        <f>T("   680990")</f>
        <v xml:space="preserve">   680990</v>
      </c>
      <c r="B4951" t="s">
        <v>302</v>
      </c>
      <c r="C4951">
        <v>9830216</v>
      </c>
      <c r="D4951">
        <v>13090</v>
      </c>
    </row>
    <row r="4952" spans="1:4" x14ac:dyDescent="0.25">
      <c r="A4952" t="str">
        <f>T("   681091")</f>
        <v xml:space="preserve">   681091</v>
      </c>
      <c r="B4952" t="str">
        <f>T("   ÉLÉMENTS PRÉFABRIQUÉS POUR LE BÂTIMENT OU LE GÉNIE CIVIL, EN CIMENT, EN BÉTON OU EN PIERRE ARTIFICIELLE, MÊME ARMÉS")</f>
        <v xml:space="preserve">   ÉLÉMENTS PRÉFABRIQUÉS POUR LE BÂTIMENT OU LE GÉNIE CIVIL, EN CIMENT, EN BÉTON OU EN PIERRE ARTIFICIELLE, MÊME ARMÉS</v>
      </c>
      <c r="C4952">
        <v>334422</v>
      </c>
      <c r="D4952">
        <v>1095</v>
      </c>
    </row>
    <row r="4953" spans="1:4" x14ac:dyDescent="0.25">
      <c r="A4953" t="str">
        <f>T("   681110")</f>
        <v xml:space="preserve">   681110</v>
      </c>
      <c r="B4953" t="str">
        <f>T("   Plaques ondulées en amiante-ciment, cellulose-ciment ou simil.")</f>
        <v xml:space="preserve">   Plaques ondulées en amiante-ciment, cellulose-ciment ou simil.</v>
      </c>
      <c r="C4953">
        <v>5825580</v>
      </c>
      <c r="D4953">
        <v>32530</v>
      </c>
    </row>
    <row r="4954" spans="1:4" x14ac:dyDescent="0.25">
      <c r="A4954" t="str">
        <f>T("   681120")</f>
        <v xml:space="preserve">   681120</v>
      </c>
      <c r="B4954" t="str">
        <f>T("   Plaques, panneaux, carreaux, tuiles et articles simil., en amiante-ciment, cellulose-ciment ou simil. (sauf plaques ondulées)")</f>
        <v xml:space="preserve">   Plaques, panneaux, carreaux, tuiles et articles simil., en amiante-ciment, cellulose-ciment ou simil. (sauf plaques ondulées)</v>
      </c>
      <c r="C4954">
        <v>12261473</v>
      </c>
      <c r="D4954">
        <v>135640</v>
      </c>
    </row>
    <row r="4955" spans="1:4" x14ac:dyDescent="0.25">
      <c r="A4955" t="str">
        <f>T("   681390")</f>
        <v xml:space="preserve">   681390</v>
      </c>
      <c r="B4955" t="s">
        <v>303</v>
      </c>
      <c r="C4955">
        <v>1880637</v>
      </c>
      <c r="D4955">
        <v>98</v>
      </c>
    </row>
    <row r="4956" spans="1:4" x14ac:dyDescent="0.25">
      <c r="A4956" t="str">
        <f>T("   690310")</f>
        <v xml:space="preserve">   690310</v>
      </c>
      <c r="B4956" t="s">
        <v>306</v>
      </c>
      <c r="C4956">
        <v>3651729</v>
      </c>
      <c r="D4956">
        <v>9</v>
      </c>
    </row>
    <row r="4957" spans="1:4" x14ac:dyDescent="0.25">
      <c r="A4957" t="str">
        <f>T("   690490")</f>
        <v xml:space="preserve">   690490</v>
      </c>
      <c r="B4957" t="s">
        <v>307</v>
      </c>
      <c r="C4957">
        <v>582859</v>
      </c>
      <c r="D4957">
        <v>859</v>
      </c>
    </row>
    <row r="4958" spans="1:4" x14ac:dyDescent="0.25">
      <c r="A4958" t="str">
        <f>T("   690510")</f>
        <v xml:space="preserve">   690510</v>
      </c>
      <c r="B4958" t="str">
        <f>T("   Tuiles")</f>
        <v xml:space="preserve">   Tuiles</v>
      </c>
      <c r="C4958">
        <v>21292031</v>
      </c>
      <c r="D4958">
        <v>240025</v>
      </c>
    </row>
    <row r="4959" spans="1:4" x14ac:dyDescent="0.25">
      <c r="A4959" t="str">
        <f>T("   690590")</f>
        <v xml:space="preserve">   690590</v>
      </c>
      <c r="B4959" t="s">
        <v>308</v>
      </c>
      <c r="C4959">
        <v>620133</v>
      </c>
      <c r="D4959">
        <v>5023</v>
      </c>
    </row>
    <row r="4960" spans="1:4" x14ac:dyDescent="0.25">
      <c r="A4960" t="str">
        <f>T("   690600")</f>
        <v xml:space="preserve">   690600</v>
      </c>
      <c r="B4960" t="s">
        <v>309</v>
      </c>
      <c r="C4960">
        <v>1353062</v>
      </c>
      <c r="D4960">
        <v>390</v>
      </c>
    </row>
    <row r="4961" spans="1:4" x14ac:dyDescent="0.25">
      <c r="A4961" t="str">
        <f>T("   690790")</f>
        <v xml:space="preserve">   690790</v>
      </c>
      <c r="B4961" t="s">
        <v>310</v>
      </c>
      <c r="C4961">
        <v>126988467</v>
      </c>
      <c r="D4961">
        <v>1109850</v>
      </c>
    </row>
    <row r="4962" spans="1:4" x14ac:dyDescent="0.25">
      <c r="A4962" t="str">
        <f>T("   690890")</f>
        <v xml:space="preserve">   690890</v>
      </c>
      <c r="B4962" t="s">
        <v>311</v>
      </c>
      <c r="C4962">
        <v>456543616</v>
      </c>
      <c r="D4962">
        <v>4505726</v>
      </c>
    </row>
    <row r="4963" spans="1:4" x14ac:dyDescent="0.25">
      <c r="A4963" t="str">
        <f>T("   690911")</f>
        <v xml:space="preserve">   690911</v>
      </c>
      <c r="B4963" t="str">
        <f>T("   Appareils et articles en porcelaine, pour usages chimiques ou autres usages techniques (sauf articles céramiques réfractaires et sauf appareils électriques, isolateurs et autres pièces isolantes électriques)")</f>
        <v xml:space="preserve">   Appareils et articles en porcelaine, pour usages chimiques ou autres usages techniques (sauf articles céramiques réfractaires et sauf appareils électriques, isolateurs et autres pièces isolantes électriques)</v>
      </c>
      <c r="C4963">
        <v>96426</v>
      </c>
      <c r="D4963">
        <v>9</v>
      </c>
    </row>
    <row r="4964" spans="1:4" x14ac:dyDescent="0.25">
      <c r="A4964" t="str">
        <f>T("   691010")</f>
        <v xml:space="preserve">   691010</v>
      </c>
      <c r="B4964" t="s">
        <v>312</v>
      </c>
      <c r="C4964">
        <v>2094815</v>
      </c>
      <c r="D4964">
        <v>5578</v>
      </c>
    </row>
    <row r="4965" spans="1:4" x14ac:dyDescent="0.25">
      <c r="A4965" t="str">
        <f>T("   691090")</f>
        <v xml:space="preserve">   691090</v>
      </c>
      <c r="B4965" t="s">
        <v>313</v>
      </c>
      <c r="C4965">
        <v>100251909</v>
      </c>
      <c r="D4965">
        <v>409822.33</v>
      </c>
    </row>
    <row r="4966" spans="1:4" x14ac:dyDescent="0.25">
      <c r="A4966" t="str">
        <f>T("   691110")</f>
        <v xml:space="preserve">   691110</v>
      </c>
      <c r="B4966" t="s">
        <v>314</v>
      </c>
      <c r="C4966">
        <v>84510110</v>
      </c>
      <c r="D4966">
        <v>26429</v>
      </c>
    </row>
    <row r="4967" spans="1:4" x14ac:dyDescent="0.25">
      <c r="A4967" t="str">
        <f>T("   691190")</f>
        <v xml:space="preserve">   691190</v>
      </c>
      <c r="B4967" t="s">
        <v>315</v>
      </c>
      <c r="C4967">
        <v>1468537</v>
      </c>
      <c r="D4967">
        <v>529</v>
      </c>
    </row>
    <row r="4968" spans="1:4" x14ac:dyDescent="0.25">
      <c r="A4968" t="str">
        <f>T("   691200")</f>
        <v xml:space="preserve">   691200</v>
      </c>
      <c r="B4968" t="s">
        <v>316</v>
      </c>
      <c r="C4968">
        <v>9373161</v>
      </c>
      <c r="D4968">
        <v>4020</v>
      </c>
    </row>
    <row r="4969" spans="1:4" x14ac:dyDescent="0.25">
      <c r="A4969" t="str">
        <f>T("   691390")</f>
        <v xml:space="preserve">   691390</v>
      </c>
      <c r="B4969" t="str">
        <f>T("   Statuettes et autres objets d'ornementation en céramique autres que la porcelaine n.d.a.")</f>
        <v xml:space="preserve">   Statuettes et autres objets d'ornementation en céramique autres que la porcelaine n.d.a.</v>
      </c>
      <c r="C4969">
        <v>3963311</v>
      </c>
      <c r="D4969">
        <v>679</v>
      </c>
    </row>
    <row r="4970" spans="1:4" x14ac:dyDescent="0.25">
      <c r="A4970" t="str">
        <f>T("   691490")</f>
        <v xml:space="preserve">   691490</v>
      </c>
      <c r="B4970" t="str">
        <f>T("   Ouvrages en céramique autres que la porcelaine n.d.a.")</f>
        <v xml:space="preserve">   Ouvrages en céramique autres que la porcelaine n.d.a.</v>
      </c>
      <c r="C4970">
        <v>4001494</v>
      </c>
      <c r="D4970">
        <v>2448</v>
      </c>
    </row>
    <row r="4971" spans="1:4" x14ac:dyDescent="0.25">
      <c r="A4971" t="str">
        <f>T("   700319")</f>
        <v xml:space="preserve">   700319</v>
      </c>
      <c r="B4971" t="str">
        <f>T("   PLAQUES ET FEUILLES EN VERRE DIT 'COULÉ', MAIS NON AUTREMENT TRAVAILLÉ (AUTRES QUE COLORÉES DANS LA MASSE, OPACIFIÉES, PLAQUÉES [DOUBLÉES], OU À COUCHE RÉFLÉCHISSANTE OU NON-RÉFLÉCHISSANTE ET SAUF EN VERRE ARMÉ)")</f>
        <v xml:space="preserve">   PLAQUES ET FEUILLES EN VERRE DIT 'COULÉ', MAIS NON AUTREMENT TRAVAILLÉ (AUTRES QUE COLORÉES DANS LA MASSE, OPACIFIÉES, PLAQUÉES [DOUBLÉES], OU À COUCHE RÉFLÉCHISSANTE OU NON-RÉFLÉCHISSANTE ET SAUF EN VERRE ARMÉ)</v>
      </c>
      <c r="C4971">
        <v>129000</v>
      </c>
      <c r="D4971">
        <v>587</v>
      </c>
    </row>
    <row r="4972" spans="1:4" x14ac:dyDescent="0.25">
      <c r="A4972" t="str">
        <f>T("   700490")</f>
        <v xml:space="preserve">   700490</v>
      </c>
      <c r="B4972" t="str">
        <f>T("   FEUILLES EN VERRE ÉTIRÉ OU SOUFFLÉ MAIS NON AUTREMENT TRAVAILLÉ (AUTRES QU'EN VERRE COLORÉ DANS LA MASSE, OPACIFIÉ, PLAQUÉ [DOUBLÉ], OU À COUCHE ABSORBANTE, RÉFLÉCHISSANTE OU NON-RÉFLÉCHISSANTE)")</f>
        <v xml:space="preserve">   FEUILLES EN VERRE ÉTIRÉ OU SOUFFLÉ MAIS NON AUTREMENT TRAVAILLÉ (AUTRES QU'EN VERRE COLORÉ DANS LA MASSE, OPACIFIÉ, PLAQUÉ [DOUBLÉ], OU À COUCHE ABSORBANTE, RÉFLÉCHISSANTE OU NON-RÉFLÉCHISSANTE)</v>
      </c>
      <c r="C4972">
        <v>2015352</v>
      </c>
      <c r="D4972">
        <v>18840</v>
      </c>
    </row>
    <row r="4973" spans="1:4" x14ac:dyDescent="0.25">
      <c r="A4973" t="str">
        <f>T("   700529")</f>
        <v xml:space="preserve">   700529</v>
      </c>
      <c r="B4973" t="s">
        <v>318</v>
      </c>
      <c r="C4973">
        <v>57471350</v>
      </c>
      <c r="D4973">
        <v>208797.49</v>
      </c>
    </row>
    <row r="4974" spans="1:4" x14ac:dyDescent="0.25">
      <c r="A4974" t="str">
        <f>T("   700711")</f>
        <v xml:space="preserve">   700711</v>
      </c>
      <c r="B4974" t="str">
        <f>T("   VERRES TREMPÉS DE DIMENSIONS ET FORMATS PERMETTANT LEUR EMPLOI DANS LES AUTOMOBILES, VÉHICULES AÉRIENS, BATEAUX OU AUTRES VÉHICULES [01/01/1988-31/12/1988: VERRES TREMPES, -DE SECURITE-, POUR AUTOMOBILES, AERODYNES, BATEAUX OU AUTRES VÉHICULES]")</f>
        <v xml:space="preserve">   VERRES TREMPÉS DE DIMENSIONS ET FORMATS PERMETTANT LEUR EMPLOI DANS LES AUTOMOBILES, VÉHICULES AÉRIENS, BATEAUX OU AUTRES VÉHICULES [01/01/1988-31/12/1988: VERRES TREMPES, -DE SECURITE-, POUR AUTOMOBILES, AERODYNES, BATEAUX OU AUTRES VÉHICULES]</v>
      </c>
      <c r="C4974">
        <v>11289305</v>
      </c>
      <c r="D4974">
        <v>862</v>
      </c>
    </row>
    <row r="4975" spans="1:4" x14ac:dyDescent="0.25">
      <c r="A4975" t="str">
        <f>T("   700719")</f>
        <v xml:space="preserve">   700719</v>
      </c>
      <c r="B4975" t="s">
        <v>320</v>
      </c>
      <c r="C4975">
        <v>15040145</v>
      </c>
      <c r="D4975">
        <v>1470</v>
      </c>
    </row>
    <row r="4976" spans="1:4" x14ac:dyDescent="0.25">
      <c r="A4976" t="str">
        <f>T("   700721")</f>
        <v xml:space="preserve">   700721</v>
      </c>
      <c r="B4976" t="s">
        <v>321</v>
      </c>
      <c r="C4976">
        <v>3553401</v>
      </c>
      <c r="D4976">
        <v>287</v>
      </c>
    </row>
    <row r="4977" spans="1:4" x14ac:dyDescent="0.25">
      <c r="A4977" t="str">
        <f>T("   700729")</f>
        <v xml:space="preserve">   700729</v>
      </c>
      <c r="B4977" t="s">
        <v>322</v>
      </c>
      <c r="C4977">
        <v>1658267</v>
      </c>
      <c r="D4977">
        <v>80</v>
      </c>
    </row>
    <row r="4978" spans="1:4" x14ac:dyDescent="0.25">
      <c r="A4978" t="str">
        <f>T("   700800")</f>
        <v xml:space="preserve">   700800</v>
      </c>
      <c r="B4978" t="str">
        <f>T("   Vitrages isolants à parois multiples")</f>
        <v xml:space="preserve">   Vitrages isolants à parois multiples</v>
      </c>
      <c r="C4978">
        <v>10938521</v>
      </c>
      <c r="D4978">
        <v>3748.15</v>
      </c>
    </row>
    <row r="4979" spans="1:4" x14ac:dyDescent="0.25">
      <c r="A4979" t="str">
        <f>T("   700910")</f>
        <v xml:space="preserve">   700910</v>
      </c>
      <c r="B4979" t="str">
        <f>T("   Miroirs rétroviseurs en verre, même encadrés, pour véhicules")</f>
        <v xml:space="preserve">   Miroirs rétroviseurs en verre, même encadrés, pour véhicules</v>
      </c>
      <c r="C4979">
        <v>1921867</v>
      </c>
      <c r="D4979">
        <v>213</v>
      </c>
    </row>
    <row r="4980" spans="1:4" x14ac:dyDescent="0.25">
      <c r="A4980" t="str">
        <f>T("   700991")</f>
        <v xml:space="preserve">   700991</v>
      </c>
      <c r="B4980" t="str">
        <f>T("   Miroirs en verre non encadrés (sauf miroirs rétroviseurs pour véhicules, miroirs optiques, optiquement travaillés et miroirs de plus de 100 ans)")</f>
        <v xml:space="preserve">   Miroirs en verre non encadrés (sauf miroirs rétroviseurs pour véhicules, miroirs optiques, optiquement travaillés et miroirs de plus de 100 ans)</v>
      </c>
      <c r="C4980">
        <v>12089186</v>
      </c>
      <c r="D4980">
        <v>47239</v>
      </c>
    </row>
    <row r="4981" spans="1:4" x14ac:dyDescent="0.25">
      <c r="A4981" t="str">
        <f>T("   700992")</f>
        <v xml:space="preserve">   700992</v>
      </c>
      <c r="B4981" t="str">
        <f>T("   Miroirs, en verre encadrés (sauf miroirs rétroviseurs pour véhicules)")</f>
        <v xml:space="preserve">   Miroirs, en verre encadrés (sauf miroirs rétroviseurs pour véhicules)</v>
      </c>
      <c r="C4981">
        <v>1985198</v>
      </c>
      <c r="D4981">
        <v>333</v>
      </c>
    </row>
    <row r="4982" spans="1:4" x14ac:dyDescent="0.25">
      <c r="A4982" t="str">
        <f>T("   701090")</f>
        <v xml:space="preserve">   701090</v>
      </c>
      <c r="B4982" t="s">
        <v>323</v>
      </c>
      <c r="C4982">
        <v>265896549</v>
      </c>
      <c r="D4982">
        <v>662424</v>
      </c>
    </row>
    <row r="4983" spans="1:4" x14ac:dyDescent="0.25">
      <c r="A4983" t="str">
        <f>T("   701110")</f>
        <v xml:space="preserve">   701110</v>
      </c>
      <c r="B4983" t="str">
        <f>T("   Ampoules en verre, ouvertes, et enveloppes tubulaires en verre, ouvertes, et leurs parties en verre, sans garnitures, pour l'éclairage électrique")</f>
        <v xml:space="preserve">   Ampoules en verre, ouvertes, et enveloppes tubulaires en verre, ouvertes, et leurs parties en verre, sans garnitures, pour l'éclairage électrique</v>
      </c>
      <c r="C4983">
        <v>1140058</v>
      </c>
      <c r="D4983">
        <v>5900</v>
      </c>
    </row>
    <row r="4984" spans="1:4" x14ac:dyDescent="0.25">
      <c r="A4984" t="str">
        <f>T("   701190")</f>
        <v xml:space="preserve">   701190</v>
      </c>
      <c r="B4984" t="str">
        <f>T("   Ampoules en verre, ouvertes, et enveloppes tubulaires en verre, ouvertes, et leurs parties en verre, sans garnitures, destinées à des lampes électriques ou simil. (autres que pour l'éclairage électrique ou pour tubes cathodique)")</f>
        <v xml:space="preserve">   Ampoules en verre, ouvertes, et enveloppes tubulaires en verre, ouvertes, et leurs parties en verre, sans garnitures, destinées à des lampes électriques ou simil. (autres que pour l'éclairage électrique ou pour tubes cathodique)</v>
      </c>
      <c r="C4984">
        <v>715000</v>
      </c>
      <c r="D4984">
        <v>1132</v>
      </c>
    </row>
    <row r="4985" spans="1:4" x14ac:dyDescent="0.25">
      <c r="A4985" t="str">
        <f>T("   701321")</f>
        <v xml:space="preserve">   701321</v>
      </c>
      <c r="B4985" t="str">
        <f>T("   Verres à boire en cristal au plomb")</f>
        <v xml:space="preserve">   Verres à boire en cristal au plomb</v>
      </c>
      <c r="C4985">
        <v>2377453</v>
      </c>
      <c r="D4985">
        <v>793</v>
      </c>
    </row>
    <row r="4986" spans="1:4" x14ac:dyDescent="0.25">
      <c r="A4986" t="str">
        <f>T("   701329")</f>
        <v xml:space="preserve">   701329</v>
      </c>
      <c r="B4986" t="str">
        <f>T("   Verres à boire (autres qu'en vitrocérame, autres qu'en cristal au plomb)")</f>
        <v xml:space="preserve">   Verres à boire (autres qu'en vitrocérame, autres qu'en cristal au plomb)</v>
      </c>
      <c r="C4986">
        <v>14309162</v>
      </c>
      <c r="D4986">
        <v>7742.13</v>
      </c>
    </row>
    <row r="4987" spans="1:4" x14ac:dyDescent="0.25">
      <c r="A4987" t="str">
        <f>T("   701331")</f>
        <v xml:space="preserve">   701331</v>
      </c>
      <c r="B4987" t="s">
        <v>328</v>
      </c>
      <c r="C4987">
        <v>6050356</v>
      </c>
      <c r="D4987">
        <v>2447</v>
      </c>
    </row>
    <row r="4988" spans="1:4" x14ac:dyDescent="0.25">
      <c r="A4988" t="str">
        <f>T("   701332")</f>
        <v xml:space="preserve">   701332</v>
      </c>
      <c r="B4988" t="s">
        <v>329</v>
      </c>
      <c r="C4988">
        <v>2532006</v>
      </c>
      <c r="D4988">
        <v>503</v>
      </c>
    </row>
    <row r="4989" spans="1:4" x14ac:dyDescent="0.25">
      <c r="A4989" t="str">
        <f>T("   701339")</f>
        <v xml:space="preserve">   701339</v>
      </c>
      <c r="B4989" t="s">
        <v>330</v>
      </c>
      <c r="C4989">
        <v>49162332</v>
      </c>
      <c r="D4989">
        <v>70885</v>
      </c>
    </row>
    <row r="4990" spans="1:4" x14ac:dyDescent="0.25">
      <c r="A4990" t="str">
        <f>T("   701391")</f>
        <v xml:space="preserve">   701391</v>
      </c>
      <c r="B4990" t="s">
        <v>331</v>
      </c>
      <c r="C4990">
        <v>9446779</v>
      </c>
      <c r="D4990">
        <v>5611</v>
      </c>
    </row>
    <row r="4991" spans="1:4" x14ac:dyDescent="0.25">
      <c r="A4991" t="str">
        <f>T("   701399")</f>
        <v xml:space="preserve">   701399</v>
      </c>
      <c r="B4991" t="s">
        <v>332</v>
      </c>
      <c r="C4991">
        <v>19157135</v>
      </c>
      <c r="D4991">
        <v>3746</v>
      </c>
    </row>
    <row r="4992" spans="1:4" x14ac:dyDescent="0.25">
      <c r="A4992" t="str">
        <f>T("   701400")</f>
        <v xml:space="preserve">   701400</v>
      </c>
      <c r="B4992" t="s">
        <v>333</v>
      </c>
      <c r="C4992">
        <v>53133</v>
      </c>
      <c r="D4992">
        <v>1</v>
      </c>
    </row>
    <row r="4993" spans="1:4" x14ac:dyDescent="0.25">
      <c r="A4993" t="str">
        <f>T("   701690")</f>
        <v xml:space="preserve">   701690</v>
      </c>
      <c r="B4993" t="s">
        <v>334</v>
      </c>
      <c r="C4993">
        <v>9781745</v>
      </c>
      <c r="D4993">
        <v>39760</v>
      </c>
    </row>
    <row r="4994" spans="1:4" x14ac:dyDescent="0.25">
      <c r="A4994" t="str">
        <f>T("   701710")</f>
        <v xml:space="preserve">   701710</v>
      </c>
      <c r="B4994" t="s">
        <v>335</v>
      </c>
      <c r="C4994">
        <v>915175</v>
      </c>
      <c r="D4994">
        <v>108</v>
      </c>
    </row>
    <row r="4995" spans="1:4" x14ac:dyDescent="0.25">
      <c r="A4995" t="str">
        <f>T("   701720")</f>
        <v xml:space="preserve">   701720</v>
      </c>
      <c r="B4995" t="s">
        <v>336</v>
      </c>
      <c r="C4995">
        <v>45822742</v>
      </c>
      <c r="D4995">
        <v>2728</v>
      </c>
    </row>
    <row r="4996" spans="1:4" x14ac:dyDescent="0.25">
      <c r="A4996" t="str">
        <f>T("   701790")</f>
        <v xml:space="preserve">   701790</v>
      </c>
      <c r="B4996" t="s">
        <v>337</v>
      </c>
      <c r="C4996">
        <v>25682688</v>
      </c>
      <c r="D4996">
        <v>2387</v>
      </c>
    </row>
    <row r="4997" spans="1:4" x14ac:dyDescent="0.25">
      <c r="A4997" t="str">
        <f>T("   701820")</f>
        <v xml:space="preserve">   701820</v>
      </c>
      <c r="B4997" t="str">
        <f>T("   Microsphères de verre d'un diamètre &lt;= 1 mm")</f>
        <v xml:space="preserve">   Microsphères de verre d'un diamètre &lt;= 1 mm</v>
      </c>
      <c r="C4997">
        <v>3933793</v>
      </c>
      <c r="D4997">
        <v>5000</v>
      </c>
    </row>
    <row r="4998" spans="1:4" x14ac:dyDescent="0.25">
      <c r="A4998" t="str">
        <f>T("   701919")</f>
        <v xml:space="preserve">   701919</v>
      </c>
      <c r="B4998" t="str">
        <f>T("   Mèches et fils, de fibres de verre (à l'excl. des fils coupés d'une longueur &lt;= 50 mm et des stratifils [rovings])")</f>
        <v xml:space="preserve">   Mèches et fils, de fibres de verre (à l'excl. des fils coupés d'une longueur &lt;= 50 mm et des stratifils [rovings])</v>
      </c>
      <c r="C4998">
        <v>204036</v>
      </c>
      <c r="D4998">
        <v>100</v>
      </c>
    </row>
    <row r="4999" spans="1:4" x14ac:dyDescent="0.25">
      <c r="A4999" t="str">
        <f>T("   701932")</f>
        <v xml:space="preserve">   701932</v>
      </c>
      <c r="B4999" t="str">
        <f>T("   Voiles de fibres de verre en couches irrégulières")</f>
        <v xml:space="preserve">   Voiles de fibres de verre en couches irrégulières</v>
      </c>
      <c r="C4999">
        <v>2144333</v>
      </c>
      <c r="D4999">
        <v>16660</v>
      </c>
    </row>
    <row r="5000" spans="1:4" x14ac:dyDescent="0.25">
      <c r="A5000" t="str">
        <f>T("   701939")</f>
        <v xml:space="preserve">   701939</v>
      </c>
      <c r="B5000" t="str">
        <f>T("   Nappes, matelas, panneaux et produits simil., non tissés, de fibres de verre (à l'excl. des mats et des voiles)")</f>
        <v xml:space="preserve">   Nappes, matelas, panneaux et produits simil., non tissés, de fibres de verre (à l'excl. des mats et des voiles)</v>
      </c>
      <c r="C5000">
        <v>1656194</v>
      </c>
      <c r="D5000">
        <v>91</v>
      </c>
    </row>
    <row r="5001" spans="1:4" x14ac:dyDescent="0.25">
      <c r="A5001" t="str">
        <f>T("   701959")</f>
        <v xml:space="preserve">   701959</v>
      </c>
      <c r="B5001" t="str">
        <f>T("   Tissus de fibres de verre, largeur &gt; 30 cm (sauf à armure toile de poids &lt; 250 g/m² de filaments titrant par fils simples &lt;= 136 tex et sauf tissus en stratifils [rovings])")</f>
        <v xml:space="preserve">   Tissus de fibres de verre, largeur &gt; 30 cm (sauf à armure toile de poids &lt; 250 g/m² de filaments titrant par fils simples &lt;= 136 tex et sauf tissus en stratifils [rovings])</v>
      </c>
      <c r="C5001">
        <v>1300000</v>
      </c>
      <c r="D5001">
        <v>650</v>
      </c>
    </row>
    <row r="5002" spans="1:4" x14ac:dyDescent="0.25">
      <c r="A5002" t="str">
        <f>T("   701990")</f>
        <v xml:space="preserve">   701990</v>
      </c>
      <c r="B5002" t="s">
        <v>340</v>
      </c>
      <c r="C5002">
        <v>3373603</v>
      </c>
      <c r="D5002">
        <v>203</v>
      </c>
    </row>
    <row r="5003" spans="1:4" x14ac:dyDescent="0.25">
      <c r="A5003" t="str">
        <f>T("   702000")</f>
        <v xml:space="preserve">   702000</v>
      </c>
      <c r="B5003" t="str">
        <f>T("   Ouvrages en verre n.d.a.")</f>
        <v xml:space="preserve">   Ouvrages en verre n.d.a.</v>
      </c>
      <c r="C5003">
        <v>1276498</v>
      </c>
      <c r="D5003">
        <v>238</v>
      </c>
    </row>
    <row r="5004" spans="1:4" x14ac:dyDescent="0.25">
      <c r="A5004" t="str">
        <f>T("   711319")</f>
        <v xml:space="preserve">   711319</v>
      </c>
      <c r="B5004" t="str">
        <f>T("   Articles de bijouterie ou de joaillerie et leurs parties, en métaux précieux autres que l'argent, même revêtus, plaqués ou doublés de métaux précieux (sauf &gt; 100 ans)")</f>
        <v xml:space="preserve">   Articles de bijouterie ou de joaillerie et leurs parties, en métaux précieux autres que l'argent, même revêtus, plaqués ou doublés de métaux précieux (sauf &gt; 100 ans)</v>
      </c>
      <c r="C5004">
        <v>888825</v>
      </c>
      <c r="D5004">
        <v>104</v>
      </c>
    </row>
    <row r="5005" spans="1:4" x14ac:dyDescent="0.25">
      <c r="A5005" t="str">
        <f>T("   711790")</f>
        <v xml:space="preserve">   711790</v>
      </c>
      <c r="B5005" t="str">
        <f>T("   Bijouterie de fantaisie (autre qu'en métaux communs, même argentés, dorés ou platinés)")</f>
        <v xml:space="preserve">   Bijouterie de fantaisie (autre qu'en métaux communs, même argentés, dorés ou platinés)</v>
      </c>
      <c r="C5005">
        <v>116335192</v>
      </c>
      <c r="D5005">
        <v>26787</v>
      </c>
    </row>
    <row r="5006" spans="1:4" x14ac:dyDescent="0.25">
      <c r="A5006" t="str">
        <f>T("   720837")</f>
        <v xml:space="preserve">   720837</v>
      </c>
      <c r="B5006" t="str">
        <f>T("   PRODUITS LAMINÉS PLATS, EN FER OU EN ACIERS NON ALLIÉS, D'UNE LARGEUR &gt;= 600 MM, ENROULÉS, SIMPLEMENT LAMINÉS À CHAUD, NON PLAQUÉS NI REVÊTUS, ÉPAISSEUR &gt;= 4,75 MM MAIS &lt;= 10 MM (SANS MOTIFS EN RELIEF, ET AUTRES QUE DÉCAPÉS)")</f>
        <v xml:space="preserve">   PRODUITS LAMINÉS PLATS, EN FER OU EN ACIERS NON ALLIÉS, D'UNE LARGEUR &gt;= 600 MM, ENROULÉS, SIMPLEMENT LAMINÉS À CHAUD, NON PLAQUÉS NI REVÊTUS, ÉPAISSEUR &gt;= 4,75 MM MAIS &lt;= 10 MM (SANS MOTIFS EN RELIEF, ET AUTRES QUE DÉCAPÉS)</v>
      </c>
      <c r="C5006">
        <v>10959590</v>
      </c>
      <c r="D5006">
        <v>25080</v>
      </c>
    </row>
    <row r="5007" spans="1:4" x14ac:dyDescent="0.25">
      <c r="A5007" t="str">
        <f>T("   720890")</f>
        <v xml:space="preserve">   720890</v>
      </c>
      <c r="B5007" t="str">
        <f>T("   PRODUITS LAMINÉS PLATS, EN FER OU EN ACIER, D'UNE LARGEUR &gt;= 600 MM, LAMINÉS À CHAUD ET AYANT SUBI CERTAINES OUVRAISONS PLUS POUSSÉES, MAIS NON-PLAQUÉS NI REVÊTUS")</f>
        <v xml:space="preserve">   PRODUITS LAMINÉS PLATS, EN FER OU EN ACIER, D'UNE LARGEUR &gt;= 600 MM, LAMINÉS À CHAUD ET AYANT SUBI CERTAINES OUVRAISONS PLUS POUSSÉES, MAIS NON-PLAQUÉS NI REVÊTUS</v>
      </c>
      <c r="C5007">
        <v>6582559</v>
      </c>
      <c r="D5007">
        <v>9000</v>
      </c>
    </row>
    <row r="5008" spans="1:4" x14ac:dyDescent="0.25">
      <c r="A5008" t="str">
        <f>T("   720917")</f>
        <v xml:space="preserve">   720917</v>
      </c>
      <c r="B5008" t="str">
        <f>T("   PRODUITS LAMINÉS PLATS, EN FER OU EN ACIERS NON-ALLIÉS, D'UNE LARGEUR &gt;= 600 MM, NON-PLAQUÉS NI REVÊTUS, ENROULÉS, SIMPL. LAMINÉS À FROID, D'UNE ÉPAISSEUR &gt;= 0,5 MM MAIS &lt;= 1 MM")</f>
        <v xml:space="preserve">   PRODUITS LAMINÉS PLATS, EN FER OU EN ACIERS NON-ALLIÉS, D'UNE LARGEUR &gt;= 600 MM, NON-PLAQUÉS NI REVÊTUS, ENROULÉS, SIMPL. LAMINÉS À FROID, D'UNE ÉPAISSEUR &gt;= 0,5 MM MAIS &lt;= 1 MM</v>
      </c>
      <c r="C5008">
        <v>17655819</v>
      </c>
      <c r="D5008">
        <v>24964</v>
      </c>
    </row>
    <row r="5009" spans="1:4" x14ac:dyDescent="0.25">
      <c r="A5009" t="str">
        <f>T("   721041")</f>
        <v xml:space="preserve">   721041</v>
      </c>
      <c r="B5009" t="str">
        <f>T("   Produits laminés plats, en fer ou en aciers non alliés, d'une largeur &gt;= 600 mm, laminés à chaud ou à froid, zingués, ondulés (à l'excl. des produits zingués électrolytiquement)")</f>
        <v xml:space="preserve">   Produits laminés plats, en fer ou en aciers non alliés, d'une largeur &gt;= 600 mm, laminés à chaud ou à froid, zingués, ondulés (à l'excl. des produits zingués électrolytiquement)</v>
      </c>
      <c r="C5009">
        <v>3946720</v>
      </c>
      <c r="D5009">
        <v>7500</v>
      </c>
    </row>
    <row r="5010" spans="1:4" x14ac:dyDescent="0.25">
      <c r="A5010" t="str">
        <f>T("   721061")</f>
        <v xml:space="preserve">   721061</v>
      </c>
      <c r="B5010" t="str">
        <f>T("   Produits laminés plats, en fer ou aciers non alliés, d'une largeur &gt;= 600 mm, laminés à chaud ou à froid, revêtus d'alliages d'aluminium et de zinc")</f>
        <v xml:space="preserve">   Produits laminés plats, en fer ou aciers non alliés, d'une largeur &gt;= 600 mm, laminés à chaud ou à froid, revêtus d'alliages d'aluminium et de zinc</v>
      </c>
      <c r="C5010">
        <v>30871393</v>
      </c>
      <c r="D5010">
        <v>53177</v>
      </c>
    </row>
    <row r="5011" spans="1:4" x14ac:dyDescent="0.25">
      <c r="A5011" t="str">
        <f>T("   721190")</f>
        <v xml:space="preserve">   721190</v>
      </c>
      <c r="B5011" t="str">
        <f>T("   PRODUITS LAMINÉS PLATS, EN FER OU EN ACIERS NON-ALLIÉS, D'UNE LARGEUR &lt; 600 MM, LAMINÉS À CHAUD OU À FROID ET AYANT SUBI CERTAINES OUVRAISONS PLUS POUSSÉES, MAIS NON-PLAQUÉS NI REVÊTUS")</f>
        <v xml:space="preserve">   PRODUITS LAMINÉS PLATS, EN FER OU EN ACIERS NON-ALLIÉS, D'UNE LARGEUR &lt; 600 MM, LAMINÉS À CHAUD OU À FROID ET AYANT SUBI CERTAINES OUVRAISONS PLUS POUSSÉES, MAIS NON-PLAQUÉS NI REVÊTUS</v>
      </c>
      <c r="C5011">
        <v>22303</v>
      </c>
      <c r="D5011">
        <v>74</v>
      </c>
    </row>
    <row r="5012" spans="1:4" x14ac:dyDescent="0.25">
      <c r="A5012" t="str">
        <f>T("   721391")</f>
        <v xml:space="preserve">   721391</v>
      </c>
      <c r="B5012"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5012">
        <v>1002899330</v>
      </c>
      <c r="D5012">
        <v>2686607</v>
      </c>
    </row>
    <row r="5013" spans="1:4" x14ac:dyDescent="0.25">
      <c r="A5013" t="str">
        <f>T("   721410")</f>
        <v xml:space="preserve">   721410</v>
      </c>
      <c r="B5013" t="str">
        <f>T("   Barres, en fer ou en aciers non alliés, simplement forgées")</f>
        <v xml:space="preserve">   Barres, en fer ou en aciers non alliés, simplement forgées</v>
      </c>
      <c r="C5013">
        <v>4970865</v>
      </c>
      <c r="D5013">
        <v>6521</v>
      </c>
    </row>
    <row r="5014" spans="1:4" x14ac:dyDescent="0.25">
      <c r="A5014" t="str">
        <f>T("   721420")</f>
        <v xml:space="preserve">   721420</v>
      </c>
      <c r="B5014" t="str">
        <f>T("   BARRES EN FER OU EN ACIERS NON ALLIÉS, COMPORTANT DES INDENTATIONS, BOURRELETS, CREUX OU RELIEFS OBTENUS AU COURS DU LAMINAGE OU AYANT SUBI UNE TORSION APRÈS LAMINAGE")</f>
        <v xml:space="preserve">   BARRES EN FER OU EN ACIERS NON ALLIÉS, COMPORTANT DES INDENTATIONS, BOURRELETS, CREUX OU RELIEFS OBTENUS AU COURS DU LAMINAGE OU AYANT SUBI UNE TORSION APRÈS LAMINAGE</v>
      </c>
      <c r="C5014">
        <v>5918599</v>
      </c>
      <c r="D5014">
        <v>15000</v>
      </c>
    </row>
    <row r="5015" spans="1:4" x14ac:dyDescent="0.25">
      <c r="A5015" t="str">
        <f>T("   721499")</f>
        <v xml:space="preserve">   721499</v>
      </c>
      <c r="B5015" t="s">
        <v>346</v>
      </c>
      <c r="C5015">
        <v>26683141</v>
      </c>
      <c r="D5015">
        <v>7540</v>
      </c>
    </row>
    <row r="5016" spans="1:4" x14ac:dyDescent="0.25">
      <c r="A5016" t="str">
        <f>T("   721590")</f>
        <v xml:space="preserve">   721590</v>
      </c>
      <c r="B5016" t="str">
        <f>T("   Barres en fer ou en aciers non alliés, obtenues ou parachevées à froid et ayant subi certaines ouvraisons plus poussées ou obtenues à chaud et ayant subi certaines ouvraisons plus poussées, n.d.a.")</f>
        <v xml:space="preserve">   Barres en fer ou en aciers non alliés, obtenues ou parachevées à froid et ayant subi certaines ouvraisons plus poussées ou obtenues à chaud et ayant subi certaines ouvraisons plus poussées, n.d.a.</v>
      </c>
      <c r="C5016">
        <v>17655819</v>
      </c>
      <c r="D5016">
        <v>24964</v>
      </c>
    </row>
    <row r="5017" spans="1:4" x14ac:dyDescent="0.25">
      <c r="A5017" t="str">
        <f>T("   721622")</f>
        <v xml:space="preserve">   721622</v>
      </c>
      <c r="B5017" t="str">
        <f>T("   PROFILÉS EN T EN FER OU ACIERS NON ALLIÉS, SIMPLEMENT LAMINÉS OU FILÉS À CHAUD, HAUTEUR &lt; 80 MM")</f>
        <v xml:space="preserve">   PROFILÉS EN T EN FER OU ACIERS NON ALLIÉS, SIMPLEMENT LAMINÉS OU FILÉS À CHAUD, HAUTEUR &lt; 80 MM</v>
      </c>
      <c r="C5017">
        <v>17655819</v>
      </c>
      <c r="D5017">
        <v>24964</v>
      </c>
    </row>
    <row r="5018" spans="1:4" x14ac:dyDescent="0.25">
      <c r="A5018" t="str">
        <f>T("   721661")</f>
        <v xml:space="preserve">   721661</v>
      </c>
      <c r="B5018" t="str">
        <f>T("   PROFILÉS EN FER OU ACIERS NON-ALLIÉS, SIMPL. OBTENUS À FROID À PARTIR DE PRODUITS LAMINÉS PLATS (À L'EXCL. DES TÔLES NERVURÉES)")</f>
        <v xml:space="preserve">   PROFILÉS EN FER OU ACIERS NON-ALLIÉS, SIMPL. OBTENUS À FROID À PARTIR DE PRODUITS LAMINÉS PLATS (À L'EXCL. DES TÔLES NERVURÉES)</v>
      </c>
      <c r="C5018">
        <v>1101357</v>
      </c>
      <c r="D5018">
        <v>36</v>
      </c>
    </row>
    <row r="5019" spans="1:4" x14ac:dyDescent="0.25">
      <c r="A5019" t="str">
        <f>T("   721669")</f>
        <v xml:space="preserve">   721669</v>
      </c>
      <c r="B5019" t="str">
        <f>T("   Profilés en fer ou en aciers non alliés, simplement obtenus ou parachevés à froid (à l'excl. des profilés obtenus à partir de produits laminés plats et des tôles nervurées)")</f>
        <v xml:space="preserve">   Profilés en fer ou en aciers non alliés, simplement obtenus ou parachevés à froid (à l'excl. des profilés obtenus à partir de produits laminés plats et des tôles nervurées)</v>
      </c>
      <c r="C5019">
        <v>5548766</v>
      </c>
      <c r="D5019">
        <v>1938</v>
      </c>
    </row>
    <row r="5020" spans="1:4" x14ac:dyDescent="0.25">
      <c r="A5020" t="str">
        <f>T("   721710")</f>
        <v xml:space="preserve">   721710</v>
      </c>
      <c r="B5020" t="str">
        <f>T("   FILS EN FER OU EN ACIERS NON-ALLIÉS, ENROULÉS, NON-REVÊTUS, MÊME POLIS (À L'EXCL. DU FIL MACHINE)")</f>
        <v xml:space="preserve">   FILS EN FER OU EN ACIERS NON-ALLIÉS, ENROULÉS, NON-REVÊTUS, MÊME POLIS (À L'EXCL. DU FIL MACHINE)</v>
      </c>
      <c r="C5020">
        <v>280751</v>
      </c>
      <c r="D5020">
        <v>7</v>
      </c>
    </row>
    <row r="5021" spans="1:4" x14ac:dyDescent="0.25">
      <c r="A5021" t="str">
        <f>T("   721730")</f>
        <v xml:space="preserve">   721730</v>
      </c>
      <c r="B5021" t="str">
        <f>T("   FILS EN FER OU EN ACIERS NON-ALLIÉS, ENROULÉS, REVÊTUS DE MÉTAUX COMMUNS (À L'EXCL. DES FILS ZINGUÉS AINSI QUE DU FIL MACHINE)")</f>
        <v xml:space="preserve">   FILS EN FER OU EN ACIERS NON-ALLIÉS, ENROULÉS, REVÊTUS DE MÉTAUX COMMUNS (À L'EXCL. DES FILS ZINGUÉS AINSI QUE DU FIL MACHINE)</v>
      </c>
      <c r="C5021">
        <v>49685547</v>
      </c>
      <c r="D5021">
        <v>76296</v>
      </c>
    </row>
    <row r="5022" spans="1:4" x14ac:dyDescent="0.25">
      <c r="A5022" t="str">
        <f>T("   721790")</f>
        <v xml:space="preserve">   721790</v>
      </c>
      <c r="B5022" t="str">
        <f>T("   FILS EN FER OU EN ACIERS NON-ALLIÉS, ENROULÉS, REVÊTUS (À L'EXCL. DU FIL MACHINE AINSI QUE DES FILS REVÊTUS DE MÉTAUX COMMUNS)")</f>
        <v xml:space="preserve">   FILS EN FER OU EN ACIERS NON-ALLIÉS, ENROULÉS, REVÊTUS (À L'EXCL. DU FIL MACHINE AINSI QUE DES FILS REVÊTUS DE MÉTAUX COMMUNS)</v>
      </c>
      <c r="C5022">
        <v>1792247</v>
      </c>
      <c r="D5022">
        <v>560</v>
      </c>
    </row>
    <row r="5023" spans="1:4" x14ac:dyDescent="0.25">
      <c r="A5023" t="str">
        <f>T("   721933")</f>
        <v xml:space="preserve">   721933</v>
      </c>
      <c r="B5023" t="str">
        <f>T("   PRODUITS LAMINÉS PLATS, EN ACIERS INOXYDABLES, D'UNE LARGEUR &gt;= 600 MM, SIMPL. LAMINÉS À FROID, D'UNE ÉPAISSEUR &gt; 1 MM MAIS &lt; 3 MM")</f>
        <v xml:space="preserve">   PRODUITS LAMINÉS PLATS, EN ACIERS INOXYDABLES, D'UNE LARGEUR &gt;= 600 MM, SIMPL. LAMINÉS À FROID, D'UNE ÉPAISSEUR &gt; 1 MM MAIS &lt; 3 MM</v>
      </c>
      <c r="C5023">
        <v>3448559</v>
      </c>
      <c r="D5023">
        <v>2188</v>
      </c>
    </row>
    <row r="5024" spans="1:4" x14ac:dyDescent="0.25">
      <c r="A5024" t="str">
        <f>T("   721934")</f>
        <v xml:space="preserve">   721934</v>
      </c>
      <c r="B5024" t="str">
        <f>T("   PRODUITS LAMINÉS PLATS, EN ACIERS INOXYDABLES, D'UNE LARGEUR &gt;= 600 MM, SIMPL. LAMINÉS À FROID, D'UNE ÉPAISSEUR &gt;= 0,5 MM MAIS &lt;= 1 MM")</f>
        <v xml:space="preserve">   PRODUITS LAMINÉS PLATS, EN ACIERS INOXYDABLES, D'UNE LARGEUR &gt;= 600 MM, SIMPL. LAMINÉS À FROID, D'UNE ÉPAISSEUR &gt;= 0,5 MM MAIS &lt;= 1 MM</v>
      </c>
      <c r="C5024">
        <v>1017742</v>
      </c>
      <c r="D5024">
        <v>625</v>
      </c>
    </row>
    <row r="5025" spans="1:4" x14ac:dyDescent="0.25">
      <c r="A5025" t="str">
        <f>T("   722012")</f>
        <v xml:space="preserve">   722012</v>
      </c>
      <c r="B5025" t="str">
        <f>T("   PRODUITS LAMINÉS PLATS EN ACIERS INOXYDABLES, D'UNE LARGEUR &lt; 600 MM, SIMPLEMENT LAMINÉS À CHAUD, ÉPAISSEUR &lt; 4,75 MM")</f>
        <v xml:space="preserve">   PRODUITS LAMINÉS PLATS EN ACIERS INOXYDABLES, D'UNE LARGEUR &lt; 600 MM, SIMPLEMENT LAMINÉS À CHAUD, ÉPAISSEUR &lt; 4,75 MM</v>
      </c>
      <c r="C5025">
        <v>1452046</v>
      </c>
      <c r="D5025">
        <v>649</v>
      </c>
    </row>
    <row r="5026" spans="1:4" x14ac:dyDescent="0.25">
      <c r="A5026" t="str">
        <f>T("   722090")</f>
        <v xml:space="preserve">   722090</v>
      </c>
      <c r="B5026" t="str">
        <f>T("   Produits laminés plats, en aciers inoxydables, d'une largeur &lt; 600 mm, laminés à chaud ou à froid et ayant subi certaines ouvraisons plus poussées")</f>
        <v xml:space="preserve">   Produits laminés plats, en aciers inoxydables, d'une largeur &lt; 600 mm, laminés à chaud ou à froid et ayant subi certaines ouvraisons plus poussées</v>
      </c>
      <c r="C5026">
        <v>19306923</v>
      </c>
      <c r="D5026">
        <v>25852</v>
      </c>
    </row>
    <row r="5027" spans="1:4" x14ac:dyDescent="0.25">
      <c r="A5027" t="str">
        <f>T("   722230")</f>
        <v xml:space="preserve">   722230</v>
      </c>
      <c r="B5027" t="str">
        <f>T("   BARRES, EN ACIERS INOXYDABLES, OBTENUES OU PARACHEVÉES À FROID ET AYANT SUBI CERTAINES OUVRAISONS PLUS POUSSÉES OU SIMPL. FORGÉES OU FORGÉES OU AUTREMENT OBTENUES À CHAUD ET AYANT SUBI CERTAINES OUVRAISONS PLUS POUSSÉES, N.D.A.")</f>
        <v xml:space="preserve">   BARRES, EN ACIERS INOXYDABLES, OBTENUES OU PARACHEVÉES À FROID ET AYANT SUBI CERTAINES OUVRAISONS PLUS POUSSÉES OU SIMPL. FORGÉES OU FORGÉES OU AUTREMENT OBTENUES À CHAUD ET AYANT SUBI CERTAINES OUVRAISONS PLUS POUSSÉES, N.D.A.</v>
      </c>
      <c r="C5027">
        <v>472291</v>
      </c>
      <c r="D5027">
        <v>265</v>
      </c>
    </row>
    <row r="5028" spans="1:4" x14ac:dyDescent="0.25">
      <c r="A5028" t="str">
        <f>T("   722540")</f>
        <v xml:space="preserve">   722540</v>
      </c>
      <c r="B5028" t="str">
        <f>T("   PRODUITS LAMINÉS PLATS EN ACIERS ALLIÉS AUTRES QU'ACIERS INOXYDABLES, D'UNE LARGEUR &gt;= 600 MM, SIMPL. LAMINÉS À CHAUD, NON-ENROULÉS (SAUF ACIERS AU SILICIUM DITS -MAGNÉTIQUES-)")</f>
        <v xml:space="preserve">   PRODUITS LAMINÉS PLATS EN ACIERS ALLIÉS AUTRES QU'ACIERS INOXYDABLES, D'UNE LARGEUR &gt;= 600 MM, SIMPL. LAMINÉS À CHAUD, NON-ENROULÉS (SAUF ACIERS AU SILICIUM DITS -MAGNÉTIQUES-)</v>
      </c>
      <c r="C5028">
        <v>19592863</v>
      </c>
      <c r="D5028">
        <v>16372</v>
      </c>
    </row>
    <row r="5029" spans="1:4" x14ac:dyDescent="0.25">
      <c r="A5029" t="str">
        <f>T("   722691")</f>
        <v xml:space="preserve">   722691</v>
      </c>
      <c r="B5029" t="str">
        <f>T("   PRODUITS LAMINÉS PLATS EN ACIERS ALLIÉS AUTRES QU'ACIERS INOXYDABLES, LARGEUR &lt; 600 MM, SIMPL. LAMINÉS À CHAUD (SAUF EN ACIERS À COUPE RAPIDE OU ACIERS AU SILICIUM DITS -MAGNÉTIQUES-)")</f>
        <v xml:space="preserve">   PRODUITS LAMINÉS PLATS EN ACIERS ALLIÉS AUTRES QU'ACIERS INOXYDABLES, LARGEUR &lt; 600 MM, SIMPL. LAMINÉS À CHAUD (SAUF EN ACIERS À COUPE RAPIDE OU ACIERS AU SILICIUM DITS -MAGNÉTIQUES-)</v>
      </c>
      <c r="C5029">
        <v>505746</v>
      </c>
      <c r="D5029">
        <v>64</v>
      </c>
    </row>
    <row r="5030" spans="1:4" x14ac:dyDescent="0.25">
      <c r="A5030" t="str">
        <f>T("   722830")</f>
        <v xml:space="preserve">   722830</v>
      </c>
      <c r="B5030" t="str">
        <f>T("   BARRES EN ACIERS ALLIÉS AUTRES QU'ACIERS INOXYDABLES, SIMPL. LAMINÉES OU FILÉES À CHAUD (SAUF EN ACIERS À COUPE RAPIDE OU SILICOMANGANEUX)")</f>
        <v xml:space="preserve">   BARRES EN ACIERS ALLIÉS AUTRES QU'ACIERS INOXYDABLES, SIMPL. LAMINÉES OU FILÉES À CHAUD (SAUF EN ACIERS À COUPE RAPIDE OU SILICOMANGANEUX)</v>
      </c>
      <c r="C5030">
        <v>657488</v>
      </c>
      <c r="D5030">
        <v>120</v>
      </c>
    </row>
    <row r="5031" spans="1:4" x14ac:dyDescent="0.25">
      <c r="A5031" t="str">
        <f>T("   722990")</f>
        <v xml:space="preserve">   722990</v>
      </c>
      <c r="B5031" t="str">
        <f>T("   FILS EN ACIERS ALLIÉS AUTRES QU'ACIERS INOXYDABLES, EN COURONNES OU EN ROULEAUX (SAUF FIL MACHINE ET FIL EN ACIERS SILICOMANGANEUX)")</f>
        <v xml:space="preserve">   FILS EN ACIERS ALLIÉS AUTRES QU'ACIERS INOXYDABLES, EN COURONNES OU EN ROULEAUX (SAUF FIL MACHINE ET FIL EN ACIERS SILICOMANGANEUX)</v>
      </c>
      <c r="C5031">
        <v>156775</v>
      </c>
      <c r="D5031">
        <v>50</v>
      </c>
    </row>
    <row r="5032" spans="1:4" x14ac:dyDescent="0.25">
      <c r="A5032" t="str">
        <f>T("   730300")</f>
        <v xml:space="preserve">   730300</v>
      </c>
      <c r="B5032" t="str">
        <f>T("   Tubes, tuyaux et profilés creux, en fonte")</f>
        <v xml:space="preserve">   Tubes, tuyaux et profilés creux, en fonte</v>
      </c>
      <c r="C5032">
        <v>74042140</v>
      </c>
      <c r="D5032">
        <v>68699</v>
      </c>
    </row>
    <row r="5033" spans="1:4" x14ac:dyDescent="0.25">
      <c r="A5033" t="str">
        <f>T("   730410")</f>
        <v xml:space="preserve">   730410</v>
      </c>
      <c r="B5033" t="str">
        <f>T("   Tubes et tuyaux sans soudure, en fer (à l'excl. de la fonte) ou en acier, des types utilisés pour oléoducs ou gazoducs")</f>
        <v xml:space="preserve">   Tubes et tuyaux sans soudure, en fer (à l'excl. de la fonte) ou en acier, des types utilisés pour oléoducs ou gazoducs</v>
      </c>
      <c r="C5033">
        <v>16959115</v>
      </c>
      <c r="D5033">
        <v>307</v>
      </c>
    </row>
    <row r="5034" spans="1:4" x14ac:dyDescent="0.25">
      <c r="A5034" t="str">
        <f>T("   730429")</f>
        <v xml:space="preserve">   730429</v>
      </c>
      <c r="B5034" t="str">
        <f>T("   Tubes et tuyaux de cuvelage ou de production sans soudure, en fer (à l'excl. de la fonte) ou en acier, des types utilisés pour l'extraction du pétrole ou du gaz")</f>
        <v xml:space="preserve">   Tubes et tuyaux de cuvelage ou de production sans soudure, en fer (à l'excl. de la fonte) ou en acier, des types utilisés pour l'extraction du pétrole ou du gaz</v>
      </c>
      <c r="C5034">
        <v>109889699</v>
      </c>
      <c r="D5034">
        <v>21908</v>
      </c>
    </row>
    <row r="5035" spans="1:4" x14ac:dyDescent="0.25">
      <c r="A5035" t="str">
        <f>T("   730490")</f>
        <v xml:space="preserve">   730490</v>
      </c>
      <c r="B5035" t="str">
        <f>T("   Tubes, tuyaux et profilés creux, sans soudure, de section autre que circulaire, en fer (à l'excl. de la fonte) ou en acier")</f>
        <v xml:space="preserve">   Tubes, tuyaux et profilés creux, sans soudure, de section autre que circulaire, en fer (à l'excl. de la fonte) ou en acier</v>
      </c>
      <c r="C5035">
        <v>26395173</v>
      </c>
      <c r="D5035">
        <v>8617</v>
      </c>
    </row>
    <row r="5036" spans="1:4" x14ac:dyDescent="0.25">
      <c r="A5036" t="str">
        <f>T("   730590")</f>
        <v xml:space="preserve">   730590</v>
      </c>
      <c r="B5036" t="str">
        <f>T("   Tubes et tuyaux de section circulaire, d'un diamètre extérieur &gt; 406,4 mm, en produits laminés plats en fer ou en acier (sauf soudés et sauf tubes des types utilisés pour les oléoducs et gazoducs ou pour l'extraction de pétrole ou de gaz)")</f>
        <v xml:space="preserve">   Tubes et tuyaux de section circulaire, d'un diamètre extérieur &gt; 406,4 mm, en produits laminés plats en fer ou en acier (sauf soudés et sauf tubes des types utilisés pour les oléoducs et gazoducs ou pour l'extraction de pétrole ou de gaz)</v>
      </c>
      <c r="C5036">
        <v>6942680</v>
      </c>
      <c r="D5036">
        <v>2841</v>
      </c>
    </row>
    <row r="5037" spans="1:4" x14ac:dyDescent="0.25">
      <c r="A5037" t="str">
        <f>T("   730640")</f>
        <v xml:space="preserve">   730640</v>
      </c>
      <c r="B5037" t="s">
        <v>352</v>
      </c>
      <c r="C5037">
        <v>5300157</v>
      </c>
      <c r="D5037">
        <v>1548</v>
      </c>
    </row>
    <row r="5038" spans="1:4" x14ac:dyDescent="0.25">
      <c r="A5038" t="str">
        <f>T("   730690")</f>
        <v xml:space="preserve">   730690</v>
      </c>
      <c r="B5038" t="str">
        <f>T("   Tubes, tuyaux et profilés creux [p.ex. rivés, agrafés ou à bords simplement rapprochés], en fer ou en acier (sauf tubes sans soudure ou soudés et tubes de sections intérieure et extérieure circulaires et d'un diamètre extérieur &gt; 406,4 mm)")</f>
        <v xml:space="preserve">   Tubes, tuyaux et profilés creux [p.ex. rivés, agrafés ou à bords simplement rapprochés], en fer ou en acier (sauf tubes sans soudure ou soudés et tubes de sections intérieure et extérieure circulaires et d'un diamètre extérieur &gt; 406,4 mm)</v>
      </c>
      <c r="C5038">
        <v>84155162</v>
      </c>
      <c r="D5038">
        <v>55109</v>
      </c>
    </row>
    <row r="5039" spans="1:4" x14ac:dyDescent="0.25">
      <c r="A5039" t="str">
        <f>T("   730711")</f>
        <v xml:space="preserve">   730711</v>
      </c>
      <c r="B5039" t="str">
        <f>T("   ACCESSOIRES DE TUYAUTERIE MOULÉS EN FONTE NON-MALLÉABLE")</f>
        <v xml:space="preserve">   ACCESSOIRES DE TUYAUTERIE MOULÉS EN FONTE NON-MALLÉABLE</v>
      </c>
      <c r="C5039">
        <v>3911903</v>
      </c>
      <c r="D5039">
        <v>9745</v>
      </c>
    </row>
    <row r="5040" spans="1:4" x14ac:dyDescent="0.25">
      <c r="A5040" t="str">
        <f>T("   730719")</f>
        <v xml:space="preserve">   730719</v>
      </c>
      <c r="B5040" t="str">
        <f>T("   Accessoires de tuyauterie moulés en fonte, fer ou acier (sauf fonte non-malléable)")</f>
        <v xml:space="preserve">   Accessoires de tuyauterie moulés en fonte, fer ou acier (sauf fonte non-malléable)</v>
      </c>
      <c r="C5040">
        <v>69301806</v>
      </c>
      <c r="D5040">
        <v>4394</v>
      </c>
    </row>
    <row r="5041" spans="1:4" x14ac:dyDescent="0.25">
      <c r="A5041" t="str">
        <f>T("   730721")</f>
        <v xml:space="preserve">   730721</v>
      </c>
      <c r="B5041" t="str">
        <f>T("   Brides en aciers inoxydables (non moulés)")</f>
        <v xml:space="preserve">   Brides en aciers inoxydables (non moulés)</v>
      </c>
      <c r="C5041">
        <v>5941687</v>
      </c>
      <c r="D5041">
        <v>2039</v>
      </c>
    </row>
    <row r="5042" spans="1:4" x14ac:dyDescent="0.25">
      <c r="A5042" t="str">
        <f>T("   730723")</f>
        <v xml:space="preserve">   730723</v>
      </c>
      <c r="B5042" t="str">
        <f>T("   ACCESSOIRES DE TUYAUTERIE EN ACIERS INOXYDABLES, À SOUDER BOUT À BOUT (NON-MOULÉS)")</f>
        <v xml:space="preserve">   ACCESSOIRES DE TUYAUTERIE EN ACIERS INOXYDABLES, À SOUDER BOUT À BOUT (NON-MOULÉS)</v>
      </c>
      <c r="C5042">
        <v>2894752</v>
      </c>
      <c r="D5042">
        <v>574</v>
      </c>
    </row>
    <row r="5043" spans="1:4" x14ac:dyDescent="0.25">
      <c r="A5043" t="str">
        <f>T("   730729")</f>
        <v xml:space="preserve">   730729</v>
      </c>
      <c r="B5043" t="str">
        <f>T("   ACCESSOIRES DE TUYAUTERIE, EN ACIERS INOXYDABLES (NON-MOULÉS ET SAUF BRIDES; COUDES, COURBES ET MANCHONS FILETÉS; ACCESSOIRES À SOUDER BOUT À BOUT)")</f>
        <v xml:space="preserve">   ACCESSOIRES DE TUYAUTERIE, EN ACIERS INOXYDABLES (NON-MOULÉS ET SAUF BRIDES; COUDES, COURBES ET MANCHONS FILETÉS; ACCESSOIRES À SOUDER BOUT À BOUT)</v>
      </c>
      <c r="C5043">
        <v>26831690</v>
      </c>
      <c r="D5043">
        <v>9124</v>
      </c>
    </row>
    <row r="5044" spans="1:4" x14ac:dyDescent="0.25">
      <c r="A5044" t="str">
        <f>T("   730791")</f>
        <v xml:space="preserve">   730791</v>
      </c>
      <c r="B5044" t="str">
        <f>T("   Brides en fer ou aciers (autres que moulés ou en acier inoxydable)")</f>
        <v xml:space="preserve">   Brides en fer ou aciers (autres que moulés ou en acier inoxydable)</v>
      </c>
      <c r="C5044">
        <v>26541074</v>
      </c>
      <c r="D5044">
        <v>3183</v>
      </c>
    </row>
    <row r="5045" spans="1:4" x14ac:dyDescent="0.25">
      <c r="A5045" t="str">
        <f>T("   730792")</f>
        <v xml:space="preserve">   730792</v>
      </c>
      <c r="B5045" t="str">
        <f>T("   Coudes, courbes et manchons en fer ou en aciers, filetés (autres que moulés ou en aciers inoxydables)")</f>
        <v xml:space="preserve">   Coudes, courbes et manchons en fer ou en aciers, filetés (autres que moulés ou en aciers inoxydables)</v>
      </c>
      <c r="C5045">
        <v>27592138</v>
      </c>
      <c r="D5045">
        <v>11223</v>
      </c>
    </row>
    <row r="5046" spans="1:4" x14ac:dyDescent="0.25">
      <c r="A5046" t="str">
        <f>T("   730793")</f>
        <v xml:space="preserve">   730793</v>
      </c>
      <c r="B5046" t="str">
        <f>T("   ACCESSOIRES DE TUYAUTERIE EN FER OU EN ACIERS, À SOUDER BOUT À BOUT (AUTRES QUE MOULÉS OU EN ACIERS INOXYDABLES ET SAUF BRIDES)")</f>
        <v xml:space="preserve">   ACCESSOIRES DE TUYAUTERIE EN FER OU EN ACIERS, À SOUDER BOUT À BOUT (AUTRES QUE MOULÉS OU EN ACIERS INOXYDABLES ET SAUF BRIDES)</v>
      </c>
      <c r="C5046">
        <v>7872</v>
      </c>
      <c r="D5046">
        <v>1</v>
      </c>
    </row>
    <row r="5047" spans="1:4" x14ac:dyDescent="0.25">
      <c r="A5047" t="str">
        <f>T("   730799")</f>
        <v xml:space="preserve">   730799</v>
      </c>
      <c r="B5047" t="str">
        <f>T("   Accessoires de tuyauterie, en fer ou aciers (autres que moulés ou en aciers inoxydables; sauf brides; coudes, courbes et manchons, filetés et sauf accessoires à souder bout à bout)")</f>
        <v xml:space="preserve">   Accessoires de tuyauterie, en fer ou aciers (autres que moulés ou en aciers inoxydables; sauf brides; coudes, courbes et manchons, filetés et sauf accessoires à souder bout à bout)</v>
      </c>
      <c r="C5047">
        <v>304451170</v>
      </c>
      <c r="D5047">
        <v>121969</v>
      </c>
    </row>
    <row r="5048" spans="1:4" x14ac:dyDescent="0.25">
      <c r="A5048" t="str">
        <f>T("   730820")</f>
        <v xml:space="preserve">   730820</v>
      </c>
      <c r="B5048" t="str">
        <f>T("   Tours et pylônes, en fer ou en acier")</f>
        <v xml:space="preserve">   Tours et pylônes, en fer ou en acier</v>
      </c>
      <c r="C5048">
        <v>165381229</v>
      </c>
      <c r="D5048">
        <v>98120</v>
      </c>
    </row>
    <row r="5049" spans="1:4" x14ac:dyDescent="0.25">
      <c r="A5049" t="str">
        <f>T("   730830")</f>
        <v xml:space="preserve">   730830</v>
      </c>
      <c r="B5049" t="str">
        <f>T("   Portes, fenêtres et leurs cadres et chambranles ainsi que leurs seuils, en fer ou en acier")</f>
        <v xml:space="preserve">   Portes, fenêtres et leurs cadres et chambranles ainsi que leurs seuils, en fer ou en acier</v>
      </c>
      <c r="C5049">
        <v>3809816</v>
      </c>
      <c r="D5049">
        <v>1060</v>
      </c>
    </row>
    <row r="5050" spans="1:4" x14ac:dyDescent="0.25">
      <c r="A5050" t="str">
        <f>T("   730840")</f>
        <v xml:space="preserve">   730840</v>
      </c>
      <c r="B5050" t="str">
        <f>T("   Matériel d'échafaudage, de coffrage ou d'étayage, en fer ou en acier (autre que palplanches assemblées et coffrages pour béton, qui présentent les caractéristiques de moules)")</f>
        <v xml:space="preserve">   Matériel d'échafaudage, de coffrage ou d'étayage, en fer ou en acier (autre que palplanches assemblées et coffrages pour béton, qui présentent les caractéristiques de moules)</v>
      </c>
      <c r="C5050">
        <v>87076874</v>
      </c>
      <c r="D5050">
        <v>41230</v>
      </c>
    </row>
    <row r="5051" spans="1:4" x14ac:dyDescent="0.25">
      <c r="A5051" t="str">
        <f>T("   730890")</f>
        <v xml:space="preserve">   730890</v>
      </c>
      <c r="B5051" t="s">
        <v>355</v>
      </c>
      <c r="C5051">
        <v>1130481099</v>
      </c>
      <c r="D5051">
        <v>671781</v>
      </c>
    </row>
    <row r="5052" spans="1:4" x14ac:dyDescent="0.25">
      <c r="A5052" t="str">
        <f>T("   730900")</f>
        <v xml:space="preserve">   730900</v>
      </c>
      <c r="B5052" t="s">
        <v>356</v>
      </c>
      <c r="C5052">
        <v>302634010</v>
      </c>
      <c r="D5052">
        <v>60566</v>
      </c>
    </row>
    <row r="5053" spans="1:4" x14ac:dyDescent="0.25">
      <c r="A5053" t="str">
        <f>T("   731010")</f>
        <v xml:space="preserve">   731010</v>
      </c>
      <c r="B5053" t="str">
        <f>T("   RÉSERVOIRS, F¹TS, TAMBOURS, BIDONS, BOÎTES ET RÉCIPIENTS SIMIL. EN FONTE, FER OU ACIER, POUR TOUTES MATIÈRES, CONTENANCE &gt;= 50 L MAIS &lt;= 300 L, N.D.A. (À L'EXCL. DES GAZ COMPRIMÉS OU LIQUÉFIÉS ET SAUF AVEC DISPOSITIFS MÉCANIQUES OU THERMIQUES)")</f>
        <v xml:space="preserve">   RÉSERVOIRS, F¹TS, TAMBOURS, BIDONS, BOÎTES ET RÉCIPIENTS SIMIL. EN FONTE, FER OU ACIER, POUR TOUTES MATIÈRES, CONTENANCE &gt;= 50 L MAIS &lt;= 300 L, N.D.A. (À L'EXCL. DES GAZ COMPRIMÉS OU LIQUÉFIÉS ET SAUF AVEC DISPOSITIFS MÉCANIQUES OU THERMIQUES)</v>
      </c>
      <c r="C5053">
        <v>76389822</v>
      </c>
      <c r="D5053">
        <v>2450</v>
      </c>
    </row>
    <row r="5054" spans="1:4" x14ac:dyDescent="0.25">
      <c r="A5054" t="str">
        <f>T("   731021")</f>
        <v xml:space="preserve">   731021</v>
      </c>
      <c r="B5054" t="str">
        <f>T("   Boîtes en fer ou en acier, contenance &lt; 50 l, à fermer par soudage ou sertissage (sauf pour gaz comprimés ou liquéfiés)")</f>
        <v xml:space="preserve">   Boîtes en fer ou en acier, contenance &lt; 50 l, à fermer par soudage ou sertissage (sauf pour gaz comprimés ou liquéfiés)</v>
      </c>
      <c r="C5054">
        <v>19023</v>
      </c>
      <c r="D5054">
        <v>1</v>
      </c>
    </row>
    <row r="5055" spans="1:4" x14ac:dyDescent="0.25">
      <c r="A5055" t="str">
        <f>T("   731029")</f>
        <v xml:space="preserve">   731029</v>
      </c>
      <c r="B5055" t="str">
        <f>T("   Réservoirs, fûts, tambours, bidons et récipients simil., en fer ou en acier, pour toutes matières, contenance &lt; 50 l, n.d.a. (sauf pour gaz comprimés ou liquéfiés, sans dispositifs mécaniques ou thermiques et à l'excl. des boîtes)")</f>
        <v xml:space="preserve">   Réservoirs, fûts, tambours, bidons et récipients simil., en fer ou en acier, pour toutes matières, contenance &lt; 50 l, n.d.a. (sauf pour gaz comprimés ou liquéfiés, sans dispositifs mécaniques ou thermiques et à l'excl. des boîtes)</v>
      </c>
      <c r="C5055">
        <v>15744351</v>
      </c>
      <c r="D5055">
        <v>2640</v>
      </c>
    </row>
    <row r="5056" spans="1:4" x14ac:dyDescent="0.25">
      <c r="A5056" t="str">
        <f>T("   731210")</f>
        <v xml:space="preserve">   731210</v>
      </c>
      <c r="B5056" t="str">
        <f>T("   Torons et câbles en fer ou en acier (sauf produits isolés pour l'électricité et sauf fil barbelé pour clôtures et ronces artificielles)")</f>
        <v xml:space="preserve">   Torons et câbles en fer ou en acier (sauf produits isolés pour l'électricité et sauf fil barbelé pour clôtures et ronces artificielles)</v>
      </c>
      <c r="C5056">
        <v>2890724</v>
      </c>
      <c r="D5056">
        <v>278</v>
      </c>
    </row>
    <row r="5057" spans="1:4" x14ac:dyDescent="0.25">
      <c r="A5057" t="str">
        <f>T("   731290")</f>
        <v xml:space="preserve">   731290</v>
      </c>
      <c r="B5057" t="str">
        <f>T("   Tresses, élingues et simil., en fer ou en acier (sauf produits isolés pour l'électricité)")</f>
        <v xml:space="preserve">   Tresses, élingues et simil., en fer ou en acier (sauf produits isolés pour l'électricité)</v>
      </c>
      <c r="C5057">
        <v>28973099</v>
      </c>
      <c r="D5057">
        <v>5631</v>
      </c>
    </row>
    <row r="5058" spans="1:4" x14ac:dyDescent="0.25">
      <c r="A5058" t="str">
        <f>T("   731300")</f>
        <v xml:space="preserve">   731300</v>
      </c>
      <c r="B5058" t="str">
        <f>T("   Ronces artificielles en fer ou en acier; torsades, barbelées ou non, en fils ou en feuillard de fer ou d'acier, des types utilisés pour les clôtures")</f>
        <v xml:space="preserve">   Ronces artificielles en fer ou en acier; torsades, barbelées ou non, en fils ou en feuillard de fer ou d'acier, des types utilisés pour les clôtures</v>
      </c>
      <c r="C5058">
        <v>90000</v>
      </c>
      <c r="D5058">
        <v>32</v>
      </c>
    </row>
    <row r="5059" spans="1:4" x14ac:dyDescent="0.25">
      <c r="A5059" t="str">
        <f>T("   731419")</f>
        <v xml:space="preserve">   731419</v>
      </c>
      <c r="B5059" t="s">
        <v>357</v>
      </c>
      <c r="C5059">
        <v>6614702</v>
      </c>
      <c r="D5059">
        <v>2822</v>
      </c>
    </row>
    <row r="5060" spans="1:4" x14ac:dyDescent="0.25">
      <c r="A5060" t="str">
        <f>T("   731420")</f>
        <v xml:space="preserve">   731420</v>
      </c>
      <c r="B5060" t="str">
        <f>T("   Grillages et treillis, soudés aux points de rencontre, d'une surface de mailles &gt;= 100 cm², en fils de fer ou d'acier, dont la plus grande dimension de la coupe transversale est &gt;= 3 mm")</f>
        <v xml:space="preserve">   Grillages et treillis, soudés aux points de rencontre, d'une surface de mailles &gt;= 100 cm², en fils de fer ou d'acier, dont la plus grande dimension de la coupe transversale est &gt;= 3 mm</v>
      </c>
      <c r="C5060">
        <v>996404</v>
      </c>
      <c r="D5060">
        <v>100</v>
      </c>
    </row>
    <row r="5061" spans="1:4" x14ac:dyDescent="0.25">
      <c r="A5061" t="str">
        <f>T("   731442")</f>
        <v xml:space="preserve">   731442</v>
      </c>
      <c r="B5061" t="str">
        <f>T("   GRILLAGES ET TREILLIS, EN FILS DE FER OU D'ACIER, NON-SOUDÉS AUX POINTS DE RENCONTRE, RECOUVERTS DE MATIÈRES PLASTIQUES")</f>
        <v xml:space="preserve">   GRILLAGES ET TREILLIS, EN FILS DE FER OU D'ACIER, NON-SOUDÉS AUX POINTS DE RENCONTRE, RECOUVERTS DE MATIÈRES PLASTIQUES</v>
      </c>
      <c r="C5061">
        <v>123359752</v>
      </c>
      <c r="D5061">
        <v>85219</v>
      </c>
    </row>
    <row r="5062" spans="1:4" x14ac:dyDescent="0.25">
      <c r="A5062" t="str">
        <f>T("   731449")</f>
        <v xml:space="preserve">   731449</v>
      </c>
      <c r="B5062" t="str">
        <f>T("   Toiles métalliques nontissées, grillages et treillis, en fils de fer ou d'acier, non soudés aux points de rencontre (sauf zingués ou recouverts de matières plastiques)")</f>
        <v xml:space="preserve">   Toiles métalliques nontissées, grillages et treillis, en fils de fer ou d'acier, non soudés aux points de rencontre (sauf zingués ou recouverts de matières plastiques)</v>
      </c>
      <c r="C5062">
        <v>1052816</v>
      </c>
      <c r="D5062">
        <v>5</v>
      </c>
    </row>
    <row r="5063" spans="1:4" x14ac:dyDescent="0.25">
      <c r="A5063" t="str">
        <f>T("   731450")</f>
        <v xml:space="preserve">   731450</v>
      </c>
      <c r="B5063" t="str">
        <f>T("   Tôles et bandes déployées en fer ou en acier")</f>
        <v xml:space="preserve">   Tôles et bandes déployées en fer ou en acier</v>
      </c>
      <c r="C5063">
        <v>27914792</v>
      </c>
      <c r="D5063">
        <v>28614</v>
      </c>
    </row>
    <row r="5064" spans="1:4" x14ac:dyDescent="0.25">
      <c r="A5064" t="str">
        <f>T("   731511")</f>
        <v xml:space="preserve">   731511</v>
      </c>
      <c r="B5064" t="str">
        <f>T("   Chaînes à rouleaux en fonte, fer ou acier")</f>
        <v xml:space="preserve">   Chaînes à rouleaux en fonte, fer ou acier</v>
      </c>
      <c r="C5064">
        <v>15384230</v>
      </c>
      <c r="D5064">
        <v>3952</v>
      </c>
    </row>
    <row r="5065" spans="1:4" x14ac:dyDescent="0.25">
      <c r="A5065" t="str">
        <f>T("   731512")</f>
        <v xml:space="preserve">   731512</v>
      </c>
      <c r="B5065" t="str">
        <f>T("   Chaînes à maillons articulés en fonte, fer ou acier (autres qu'à rouleaux)")</f>
        <v xml:space="preserve">   Chaînes à maillons articulés en fonte, fer ou acier (autres qu'à rouleaux)</v>
      </c>
      <c r="C5065">
        <v>19369843</v>
      </c>
      <c r="D5065">
        <v>2706</v>
      </c>
    </row>
    <row r="5066" spans="1:4" x14ac:dyDescent="0.25">
      <c r="A5066" t="str">
        <f>T("   731519")</f>
        <v xml:space="preserve">   731519</v>
      </c>
      <c r="B5066" t="str">
        <f>T("   Parties de chaînes à maillons articulés en fonte, fer ou acier")</f>
        <v xml:space="preserve">   Parties de chaînes à maillons articulés en fonte, fer ou acier</v>
      </c>
      <c r="C5066">
        <v>6461</v>
      </c>
      <c r="D5066">
        <v>1</v>
      </c>
    </row>
    <row r="5067" spans="1:4" x14ac:dyDescent="0.25">
      <c r="A5067" t="str">
        <f>T("   731520")</f>
        <v xml:space="preserve">   731520</v>
      </c>
      <c r="B5067" t="str">
        <f>T("   Chaînes antidérapantes pour véhicules automobiles, en fonte, fer ou acier")</f>
        <v xml:space="preserve">   Chaînes antidérapantes pour véhicules automobiles, en fonte, fer ou acier</v>
      </c>
      <c r="C5067">
        <v>32142</v>
      </c>
      <c r="D5067">
        <v>1</v>
      </c>
    </row>
    <row r="5068" spans="1:4" x14ac:dyDescent="0.25">
      <c r="A5068" t="str">
        <f>T("   731581")</f>
        <v xml:space="preserve">   731581</v>
      </c>
      <c r="B5068" t="str">
        <f>T("   Chaînes à maillons à étais en fonte, fer ou acier")</f>
        <v xml:space="preserve">   Chaînes à maillons à étais en fonte, fer ou acier</v>
      </c>
      <c r="C5068">
        <v>9784955</v>
      </c>
      <c r="D5068">
        <v>2375</v>
      </c>
    </row>
    <row r="5069" spans="1:4" x14ac:dyDescent="0.25">
      <c r="A5069" t="str">
        <f>T("   731582")</f>
        <v xml:space="preserve">   731582</v>
      </c>
      <c r="B5069" t="str">
        <f>T("   CHAÎNES EN FONTE, FER OU ACIER, À MAILLONS SOUDÉS (SAUF CHAÎNES À MAILLONS ARTICULÉS, ANTIDÉRAPANTES ET À MAILLONS À ÉTAIS)")</f>
        <v xml:space="preserve">   CHAÎNES EN FONTE, FER OU ACIER, À MAILLONS SOUDÉS (SAUF CHAÎNES À MAILLONS ARTICULÉS, ANTIDÉRAPANTES ET À MAILLONS À ÉTAIS)</v>
      </c>
      <c r="C5069">
        <v>2340466</v>
      </c>
      <c r="D5069">
        <v>86</v>
      </c>
    </row>
    <row r="5070" spans="1:4" x14ac:dyDescent="0.25">
      <c r="A5070" t="str">
        <f>T("   731589")</f>
        <v xml:space="preserve">   731589</v>
      </c>
      <c r="B5070" t="s">
        <v>358</v>
      </c>
      <c r="C5070">
        <v>62241056</v>
      </c>
      <c r="D5070">
        <v>13952</v>
      </c>
    </row>
    <row r="5071" spans="1:4" x14ac:dyDescent="0.25">
      <c r="A5071" t="str">
        <f>T("   731590")</f>
        <v xml:space="preserve">   731590</v>
      </c>
      <c r="B5071" t="str">
        <f>T("   Parties de chaînes et chaînettes antidérapantes, à maillons à étais, et autres chaînes et chaînettes du n° 7315 (sauf de chaînes à maillons articulés)")</f>
        <v xml:space="preserve">   Parties de chaînes et chaînettes antidérapantes, à maillons à étais, et autres chaînes et chaînettes du n° 7315 (sauf de chaînes à maillons articulés)</v>
      </c>
      <c r="C5071">
        <v>516257</v>
      </c>
      <c r="D5071">
        <v>73</v>
      </c>
    </row>
    <row r="5072" spans="1:4" x14ac:dyDescent="0.25">
      <c r="A5072" t="str">
        <f>T("   731700")</f>
        <v xml:space="preserve">   731700</v>
      </c>
      <c r="B5072" t="str">
        <f>T("   Pointes, clous, punaises, crampons appointés, agrafes ondulées ou biseautées et articles simil., en fonte, fer ou acier, même avec tête en autre matière (à l'excl. de ceux avec tête en cuivre et à l'excl. des agrafes en barrettes)")</f>
        <v xml:space="preserve">   Pointes, clous, punaises, crampons appointés, agrafes ondulées ou biseautées et articles simil., en fonte, fer ou acier, même avec tête en autre matière (à l'excl. de ceux avec tête en cuivre et à l'excl. des agrafes en barrettes)</v>
      </c>
      <c r="C5072">
        <v>990546</v>
      </c>
      <c r="D5072">
        <v>748</v>
      </c>
    </row>
    <row r="5073" spans="1:4" x14ac:dyDescent="0.25">
      <c r="A5073" t="str">
        <f>T("   731814")</f>
        <v xml:space="preserve">   731814</v>
      </c>
      <c r="B5073" t="str">
        <f>T("   Vis autotaraudeuses en fonte, fer ou acier (autres que vis à bois)")</f>
        <v xml:space="preserve">   Vis autotaraudeuses en fonte, fer ou acier (autres que vis à bois)</v>
      </c>
      <c r="C5073">
        <v>1795363</v>
      </c>
      <c r="D5073">
        <v>250</v>
      </c>
    </row>
    <row r="5074" spans="1:4" x14ac:dyDescent="0.25">
      <c r="A5074" t="str">
        <f>T("   731815")</f>
        <v xml:space="preserve">   731815</v>
      </c>
      <c r="B5074" t="s">
        <v>359</v>
      </c>
      <c r="C5074">
        <v>159282816</v>
      </c>
      <c r="D5074">
        <v>78605.67</v>
      </c>
    </row>
    <row r="5075" spans="1:4" x14ac:dyDescent="0.25">
      <c r="A5075" t="str">
        <f>T("   731816")</f>
        <v xml:space="preserve">   731816</v>
      </c>
      <c r="B5075" t="str">
        <f>T("   ÉCROUS EN FONTE, FER OU ACIER")</f>
        <v xml:space="preserve">   ÉCROUS EN FONTE, FER OU ACIER</v>
      </c>
      <c r="C5075">
        <v>13548348</v>
      </c>
      <c r="D5075">
        <v>1662</v>
      </c>
    </row>
    <row r="5076" spans="1:4" x14ac:dyDescent="0.25">
      <c r="A5076" t="str">
        <f>T("   731819")</f>
        <v xml:space="preserve">   731819</v>
      </c>
      <c r="B5076" t="str">
        <f>T("   Articles de boulonnerie et de visserie, filetés, en fonte, fer ou acier, n.d.a.")</f>
        <v xml:space="preserve">   Articles de boulonnerie et de visserie, filetés, en fonte, fer ou acier, n.d.a.</v>
      </c>
      <c r="C5076">
        <v>31072812</v>
      </c>
      <c r="D5076">
        <v>7550.78</v>
      </c>
    </row>
    <row r="5077" spans="1:4" x14ac:dyDescent="0.25">
      <c r="A5077" t="str">
        <f>T("   731822")</f>
        <v xml:space="preserve">   731822</v>
      </c>
      <c r="B5077" t="str">
        <f>T("   Rondelles en fonte, fer ou acier (sauf rondelles destinées à faire ressort et autres rondelles de blocage)")</f>
        <v xml:space="preserve">   Rondelles en fonte, fer ou acier (sauf rondelles destinées à faire ressort et autres rondelles de blocage)</v>
      </c>
      <c r="C5077">
        <v>27303589</v>
      </c>
      <c r="D5077">
        <v>12388.15</v>
      </c>
    </row>
    <row r="5078" spans="1:4" x14ac:dyDescent="0.25">
      <c r="A5078" t="str">
        <f>T("   731823")</f>
        <v xml:space="preserve">   731823</v>
      </c>
      <c r="B5078" t="str">
        <f>T("   Rivets en fonte, fer ou acier (autres que rivets tubulaires ou rivets à deux pièces tubulaires destinés à des usages divers)")</f>
        <v xml:space="preserve">   Rivets en fonte, fer ou acier (autres que rivets tubulaires ou rivets à deux pièces tubulaires destinés à des usages divers)</v>
      </c>
      <c r="C5078">
        <v>129224</v>
      </c>
      <c r="D5078">
        <v>50</v>
      </c>
    </row>
    <row r="5079" spans="1:4" x14ac:dyDescent="0.25">
      <c r="A5079" t="str">
        <f>T("   731824")</f>
        <v xml:space="preserve">   731824</v>
      </c>
      <c r="B5079" t="str">
        <f>T("   Goupilles, chevilles et clavettes en fonte, fer ou acier")</f>
        <v xml:space="preserve">   Goupilles, chevilles et clavettes en fonte, fer ou acier</v>
      </c>
      <c r="C5079">
        <v>21247432</v>
      </c>
      <c r="D5079">
        <v>2819.44</v>
      </c>
    </row>
    <row r="5080" spans="1:4" x14ac:dyDescent="0.25">
      <c r="A5080" t="str">
        <f>T("   731829")</f>
        <v xml:space="preserve">   731829</v>
      </c>
      <c r="B5080" t="str">
        <f>T("   Articles de boulonnerie et de visserie non filetés, en fonte, fer ou acier, n.d.a.")</f>
        <v xml:space="preserve">   Articles de boulonnerie et de visserie non filetés, en fonte, fer ou acier, n.d.a.</v>
      </c>
      <c r="C5080">
        <v>112599217</v>
      </c>
      <c r="D5080">
        <v>22785</v>
      </c>
    </row>
    <row r="5081" spans="1:4" x14ac:dyDescent="0.25">
      <c r="A5081" t="str">
        <f>T("   731910")</f>
        <v xml:space="preserve">   731910</v>
      </c>
      <c r="B5081" t="str">
        <f>T("   Aiguilles à coudre, à ravauder ou à broder à la main, en fer ou en acier")</f>
        <v xml:space="preserve">   Aiguilles à coudre, à ravauder ou à broder à la main, en fer ou en acier</v>
      </c>
      <c r="C5081">
        <v>183669</v>
      </c>
      <c r="D5081">
        <v>44</v>
      </c>
    </row>
    <row r="5082" spans="1:4" x14ac:dyDescent="0.25">
      <c r="A5082" t="str">
        <f>T("   731930")</f>
        <v xml:space="preserve">   731930</v>
      </c>
      <c r="B5082" t="str">
        <f>T("   Autres épingles en fer ou en acier, n.d.a.")</f>
        <v xml:space="preserve">   Autres épingles en fer ou en acier, n.d.a.</v>
      </c>
      <c r="C5082">
        <v>212735</v>
      </c>
      <c r="D5082">
        <v>927</v>
      </c>
    </row>
    <row r="5083" spans="1:4" x14ac:dyDescent="0.25">
      <c r="A5083" t="str">
        <f>T("   732010")</f>
        <v xml:space="preserve">   732010</v>
      </c>
      <c r="B5083" t="str">
        <f>T("   RESSORTS À LAMES ET LEURS LAMES, EN FER OU EN ACIER (À L'EXCL. DES RESSORTS DE MONTRES ET DES RESSORTS À BARRE DE TORSION DE LA SECTION 17)")</f>
        <v xml:space="preserve">   RESSORTS À LAMES ET LEURS LAMES, EN FER OU EN ACIER (À L'EXCL. DES RESSORTS DE MONTRES ET DES RESSORTS À BARRE DE TORSION DE LA SECTION 17)</v>
      </c>
      <c r="C5083">
        <v>11521346</v>
      </c>
      <c r="D5083">
        <v>23443</v>
      </c>
    </row>
    <row r="5084" spans="1:4" x14ac:dyDescent="0.25">
      <c r="A5084" t="str">
        <f>T("   732090")</f>
        <v xml:space="preserve">   732090</v>
      </c>
      <c r="B5084" t="s">
        <v>360</v>
      </c>
      <c r="C5084">
        <v>7666778</v>
      </c>
      <c r="D5084">
        <v>2194</v>
      </c>
    </row>
    <row r="5085" spans="1:4" x14ac:dyDescent="0.25">
      <c r="A5085" t="str">
        <f>T("   732111")</f>
        <v xml:space="preserve">   732111</v>
      </c>
      <c r="B5085" t="s">
        <v>361</v>
      </c>
      <c r="C5085">
        <v>3406075</v>
      </c>
      <c r="D5085">
        <v>2554</v>
      </c>
    </row>
    <row r="5086" spans="1:4" x14ac:dyDescent="0.25">
      <c r="A5086" t="str">
        <f>T("   732310")</f>
        <v xml:space="preserve">   732310</v>
      </c>
      <c r="B5086" t="str">
        <f>T("   Paille de fer ou d'acier; éponges, torchons, gants et articles simil. pour le récurage, le polissage ou usages analogues, en fer ou acier")</f>
        <v xml:space="preserve">   Paille de fer ou d'acier; éponges, torchons, gants et articles simil. pour le récurage, le polissage ou usages analogues, en fer ou acier</v>
      </c>
      <c r="C5086">
        <v>278127</v>
      </c>
      <c r="D5086">
        <v>339</v>
      </c>
    </row>
    <row r="5087" spans="1:4" x14ac:dyDescent="0.25">
      <c r="A5087" t="str">
        <f>T("   732391")</f>
        <v xml:space="preserve">   732391</v>
      </c>
      <c r="B5087" t="s">
        <v>364</v>
      </c>
      <c r="C5087">
        <v>2739289</v>
      </c>
      <c r="D5087">
        <v>1715</v>
      </c>
    </row>
    <row r="5088" spans="1:4" x14ac:dyDescent="0.25">
      <c r="A5088" t="str">
        <f>T("   732393")</f>
        <v xml:space="preserve">   732393</v>
      </c>
      <c r="B5088" t="s">
        <v>366</v>
      </c>
      <c r="C5088">
        <v>81694057</v>
      </c>
      <c r="D5088">
        <v>34354.86</v>
      </c>
    </row>
    <row r="5089" spans="1:4" x14ac:dyDescent="0.25">
      <c r="A5089" t="str">
        <f>T("   732394")</f>
        <v xml:space="preserve">   732394</v>
      </c>
      <c r="B5089" t="s">
        <v>367</v>
      </c>
      <c r="C5089">
        <v>14052251</v>
      </c>
      <c r="D5089">
        <v>16247</v>
      </c>
    </row>
    <row r="5090" spans="1:4" x14ac:dyDescent="0.25">
      <c r="A5090" t="str">
        <f>T("   732399")</f>
        <v xml:space="preserve">   732399</v>
      </c>
      <c r="B5090" t="s">
        <v>368</v>
      </c>
      <c r="C5090">
        <v>51523272</v>
      </c>
      <c r="D5090">
        <v>49627</v>
      </c>
    </row>
    <row r="5091" spans="1:4" x14ac:dyDescent="0.25">
      <c r="A5091" t="str">
        <f>T("   732429")</f>
        <v xml:space="preserve">   732429</v>
      </c>
      <c r="B5091" t="str">
        <f>T("   Baignoires en tôle d'acier")</f>
        <v xml:space="preserve">   Baignoires en tôle d'acier</v>
      </c>
      <c r="C5091">
        <v>400000</v>
      </c>
      <c r="D5091">
        <v>1200</v>
      </c>
    </row>
    <row r="5092" spans="1:4" x14ac:dyDescent="0.25">
      <c r="A5092" t="str">
        <f>T("   732490")</f>
        <v xml:space="preserve">   732490</v>
      </c>
      <c r="B5092" t="s">
        <v>369</v>
      </c>
      <c r="C5092">
        <v>1812627</v>
      </c>
      <c r="D5092">
        <v>600</v>
      </c>
    </row>
    <row r="5093" spans="1:4" x14ac:dyDescent="0.25">
      <c r="A5093" t="str">
        <f>T("   732510")</f>
        <v xml:space="preserve">   732510</v>
      </c>
      <c r="B5093" t="str">
        <f>T("   OUVRAGES EN FER OU EN ACIER, EN FONTE NON-MALLÉABLE, MOULÉS, N.D.A.")</f>
        <v xml:space="preserve">   OUVRAGES EN FER OU EN ACIER, EN FONTE NON-MALLÉABLE, MOULÉS, N.D.A.</v>
      </c>
      <c r="C5093">
        <v>18618422</v>
      </c>
      <c r="D5093">
        <v>22457</v>
      </c>
    </row>
    <row r="5094" spans="1:4" x14ac:dyDescent="0.25">
      <c r="A5094" t="str">
        <f>T("   732599")</f>
        <v xml:space="preserve">   732599</v>
      </c>
      <c r="B5094" t="str">
        <f>T("   OUVRAGES EN FONTE, FER OU ACIER, MOULÉS, N.D.A. (À L'EXCL. DE LA FONTE NON-MALLÉABLE ET SAUF BOULETS ET ARTICLES SIMIL. POUR BROYEURS)")</f>
        <v xml:space="preserve">   OUVRAGES EN FONTE, FER OU ACIER, MOULÉS, N.D.A. (À L'EXCL. DE LA FONTE NON-MALLÉABLE ET SAUF BOULETS ET ARTICLES SIMIL. POUR BROYEURS)</v>
      </c>
      <c r="C5094">
        <v>875990</v>
      </c>
      <c r="D5094">
        <v>356</v>
      </c>
    </row>
    <row r="5095" spans="1:4" x14ac:dyDescent="0.25">
      <c r="A5095" t="str">
        <f>T("   732611")</f>
        <v xml:space="preserve">   732611</v>
      </c>
      <c r="B5095" t="str">
        <f>T("   Boulets et simil. pour broyeurs, en fer ou en acier, forgés ou estampés mais non autrement travaillés")</f>
        <v xml:space="preserve">   Boulets et simil. pour broyeurs, en fer ou en acier, forgés ou estampés mais non autrement travaillés</v>
      </c>
      <c r="C5095">
        <v>93802</v>
      </c>
      <c r="D5095">
        <v>50</v>
      </c>
    </row>
    <row r="5096" spans="1:4" x14ac:dyDescent="0.25">
      <c r="A5096" t="str">
        <f>T("   732619")</f>
        <v xml:space="preserve">   732619</v>
      </c>
      <c r="B5096" t="str">
        <f>T("   Ouvrages en fer ou en acier, forgés ou estampés mais non autrement travaillés, n.d.a. (sauf boulets et articles simil. pour broyeurs)")</f>
        <v xml:space="preserve">   Ouvrages en fer ou en acier, forgés ou estampés mais non autrement travaillés, n.d.a. (sauf boulets et articles simil. pour broyeurs)</v>
      </c>
      <c r="C5096">
        <v>3226306</v>
      </c>
      <c r="D5096">
        <v>1309</v>
      </c>
    </row>
    <row r="5097" spans="1:4" x14ac:dyDescent="0.25">
      <c r="A5097" t="str">
        <f>T("   732620")</f>
        <v xml:space="preserve">   732620</v>
      </c>
      <c r="B5097" t="str">
        <f>T("   Ouvrages en fil de fer ou d'acier, n.d.a.")</f>
        <v xml:space="preserve">   Ouvrages en fil de fer ou d'acier, n.d.a.</v>
      </c>
      <c r="C5097">
        <v>2289957</v>
      </c>
      <c r="D5097">
        <v>330</v>
      </c>
    </row>
    <row r="5098" spans="1:4" x14ac:dyDescent="0.25">
      <c r="A5098" t="str">
        <f>T("   732690")</f>
        <v xml:space="preserve">   732690</v>
      </c>
      <c r="B5098"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5098">
        <v>127977692</v>
      </c>
      <c r="D5098">
        <v>50865</v>
      </c>
    </row>
    <row r="5099" spans="1:4" x14ac:dyDescent="0.25">
      <c r="A5099" t="str">
        <f>T("   740321")</f>
        <v xml:space="preserve">   740321</v>
      </c>
      <c r="B5099" t="str">
        <f>T("   Alliages à base de cuivre-zinc -laiton-, sous forme brute")</f>
        <v xml:space="preserve">   Alliages à base de cuivre-zinc -laiton-, sous forme brute</v>
      </c>
      <c r="C5099">
        <v>345691</v>
      </c>
      <c r="D5099">
        <v>98</v>
      </c>
    </row>
    <row r="5100" spans="1:4" x14ac:dyDescent="0.25">
      <c r="A5100" t="str">
        <f>T("   740729")</f>
        <v xml:space="preserve">   740729</v>
      </c>
      <c r="B5100" t="str">
        <f>T("   BARRES ET PROFILÉS EN ALLIAGES DE CUIVRE, N.D.A. (SAUF EN ALLIAGES À BASE DE CUIVRE-ZINC -LAITON-)")</f>
        <v xml:space="preserve">   BARRES ET PROFILÉS EN ALLIAGES DE CUIVRE, N.D.A. (SAUF EN ALLIAGES À BASE DE CUIVRE-ZINC -LAITON-)</v>
      </c>
      <c r="C5100">
        <v>288623</v>
      </c>
      <c r="D5100">
        <v>640</v>
      </c>
    </row>
    <row r="5101" spans="1:4" x14ac:dyDescent="0.25">
      <c r="A5101" t="str">
        <f>T("   740939")</f>
        <v xml:space="preserve">   740939</v>
      </c>
      <c r="B5101" t="str">
        <f>T("   Tôles et bandes en alliages à base de cuivre-étain -bronze-, épaisseur &gt; 0,15 mm (non enroulées et sauf tôles et bandes déployées ainsi que bandes isolées pour l'électricité)")</f>
        <v xml:space="preserve">   Tôles et bandes en alliages à base de cuivre-étain -bronze-, épaisseur &gt; 0,15 mm (non enroulées et sauf tôles et bandes déployées ainsi que bandes isolées pour l'électricité)</v>
      </c>
      <c r="C5101">
        <v>2666477</v>
      </c>
      <c r="D5101">
        <v>900</v>
      </c>
    </row>
    <row r="5102" spans="1:4" x14ac:dyDescent="0.25">
      <c r="A5102" t="str">
        <f>T("   741012")</f>
        <v xml:space="preserve">   741012</v>
      </c>
      <c r="B5102" t="str">
        <f>T("   FEUILLES ET BANDES MINCES EN ALLIAGES DE CUIVRE, SANS SUPPORT, ÉPAISSEUR &lt;= 0,15 MM (SAUF FEUILLES POUR LE MARQUAGE AU FER DU N° 3212, FILS GUIPÉS DE MÉTAL ET FILS MÉTALLISÉS ET SAUF FEUILLES TRAITÉES COMME DÉCORATIONS POUR SAPINS DE NOÙL)")</f>
        <v xml:space="preserve">   FEUILLES ET BANDES MINCES EN ALLIAGES DE CUIVRE, SANS SUPPORT, ÉPAISSEUR &lt;= 0,15 MM (SAUF FEUILLES POUR LE MARQUAGE AU FER DU N° 3212, FILS GUIPÉS DE MÉTAL ET FILS MÉTALLISÉS ET SAUF FEUILLES TRAITÉES COMME DÉCORATIONS POUR SAPINS DE NOÙL)</v>
      </c>
      <c r="C5102">
        <v>144967</v>
      </c>
      <c r="D5102">
        <v>52</v>
      </c>
    </row>
    <row r="5103" spans="1:4" x14ac:dyDescent="0.25">
      <c r="A5103" t="str">
        <f>T("   741110")</f>
        <v xml:space="preserve">   741110</v>
      </c>
      <c r="B5103" t="str">
        <f>T("   Tubes et tuyaux en cuivre affiné")</f>
        <v xml:space="preserve">   Tubes et tuyaux en cuivre affiné</v>
      </c>
      <c r="C5103">
        <v>13149806</v>
      </c>
      <c r="D5103">
        <v>5437</v>
      </c>
    </row>
    <row r="5104" spans="1:4" x14ac:dyDescent="0.25">
      <c r="A5104" t="str">
        <f>T("   741121")</f>
        <v xml:space="preserve">   741121</v>
      </c>
      <c r="B5104" t="str">
        <f>T("   Tubes et tuyaux en alliages à base de cuivre-zinc -laiton-")</f>
        <v xml:space="preserve">   Tubes et tuyaux en alliages à base de cuivre-zinc -laiton-</v>
      </c>
      <c r="C5104">
        <v>787145</v>
      </c>
      <c r="D5104">
        <v>22</v>
      </c>
    </row>
    <row r="5105" spans="1:4" x14ac:dyDescent="0.25">
      <c r="A5105" t="str">
        <f>T("   741129")</f>
        <v xml:space="preserve">   741129</v>
      </c>
      <c r="B5105" t="str">
        <f>T("   Tubes et tuyaux en alliages de cuivre (sauf en alliages à base de cuivre-zinc -laiton-, de cuivre-nickel -cupronickel-, ou de cuivre-nickel-zinc -maillechort-)")</f>
        <v xml:space="preserve">   Tubes et tuyaux en alliages de cuivre (sauf en alliages à base de cuivre-zinc -laiton-, de cuivre-nickel -cupronickel-, ou de cuivre-nickel-zinc -maillechort-)</v>
      </c>
      <c r="C5105">
        <v>1675965</v>
      </c>
      <c r="D5105">
        <v>2989</v>
      </c>
    </row>
    <row r="5106" spans="1:4" x14ac:dyDescent="0.25">
      <c r="A5106" t="str">
        <f>T("   741210")</f>
        <v xml:space="preserve">   741210</v>
      </c>
      <c r="B5106" t="str">
        <f>T("   Accessoires de tuyauterie -raccords, coudes, manchons, par exemple-, en cuivre affiné")</f>
        <v xml:space="preserve">   Accessoires de tuyauterie -raccords, coudes, manchons, par exemple-, en cuivre affiné</v>
      </c>
      <c r="C5106">
        <v>950315</v>
      </c>
      <c r="D5106">
        <v>39</v>
      </c>
    </row>
    <row r="5107" spans="1:4" x14ac:dyDescent="0.25">
      <c r="A5107" t="str">
        <f>T("   741220")</f>
        <v xml:space="preserve">   741220</v>
      </c>
      <c r="B5107" t="str">
        <f>T("   Accessoires de tuyauterie -raccords, coudes, manchons, par exemple-, en alliages de cuivre")</f>
        <v xml:space="preserve">   Accessoires de tuyauterie -raccords, coudes, manchons, par exemple-, en alliages de cuivre</v>
      </c>
      <c r="C5107">
        <v>4281405</v>
      </c>
      <c r="D5107">
        <v>1169</v>
      </c>
    </row>
    <row r="5108" spans="1:4" x14ac:dyDescent="0.25">
      <c r="A5108" t="str">
        <f>T("   741300")</f>
        <v xml:space="preserve">   741300</v>
      </c>
      <c r="B5108" t="str">
        <f>T("   Torons, câbles, tresses et articles simil., en cuivre (sauf produits isolés pour l'électricité)")</f>
        <v xml:space="preserve">   Torons, câbles, tresses et articles simil., en cuivre (sauf produits isolés pour l'électricité)</v>
      </c>
      <c r="C5108">
        <v>709749</v>
      </c>
      <c r="D5108">
        <v>140</v>
      </c>
    </row>
    <row r="5109" spans="1:4" x14ac:dyDescent="0.25">
      <c r="A5109" t="str">
        <f>T("   741533")</f>
        <v xml:space="preserve">   741533</v>
      </c>
      <c r="B5109" t="str">
        <f>T("   Vis, boulons, écrous et articles simil., filetés, en cuivre (à l'excl. des crochets et pitons à pas de vis, des tire-fond, des bouchons métalliques, bondes et articles simil., filetés)")</f>
        <v xml:space="preserve">   Vis, boulons, écrous et articles simil., filetés, en cuivre (à l'excl. des crochets et pitons à pas de vis, des tire-fond, des bouchons métalliques, bondes et articles simil., filetés)</v>
      </c>
      <c r="C5109">
        <v>254427</v>
      </c>
      <c r="D5109">
        <v>37</v>
      </c>
    </row>
    <row r="5110" spans="1:4" x14ac:dyDescent="0.25">
      <c r="A5110" t="str">
        <f>T("   741539")</f>
        <v xml:space="preserve">   741539</v>
      </c>
      <c r="B5110" t="str">
        <f>T("   Crochets à pas de vis, vis à oeillet, tampons et articles simil., filetés, en cuivre (sauf vis ordinaires et sauf boulons et écrous)")</f>
        <v xml:space="preserve">   Crochets à pas de vis, vis à oeillet, tampons et articles simil., filetés, en cuivre (sauf vis ordinaires et sauf boulons et écrous)</v>
      </c>
      <c r="C5110">
        <v>761825</v>
      </c>
      <c r="D5110">
        <v>304</v>
      </c>
    </row>
    <row r="5111" spans="1:4" x14ac:dyDescent="0.25">
      <c r="A5111" t="str">
        <f>T("   741819")</f>
        <v xml:space="preserve">   741819</v>
      </c>
      <c r="B5111" t="s">
        <v>371</v>
      </c>
      <c r="C5111">
        <v>100000</v>
      </c>
      <c r="D5111">
        <v>80</v>
      </c>
    </row>
    <row r="5112" spans="1:4" x14ac:dyDescent="0.25">
      <c r="A5112" t="str">
        <f>T("   741999")</f>
        <v xml:space="preserve">   741999</v>
      </c>
      <c r="B5112" t="str">
        <f>T("   Ouvrages en cuivre, n.d.a.")</f>
        <v xml:space="preserve">   Ouvrages en cuivre, n.d.a.</v>
      </c>
      <c r="C5112">
        <v>3710812</v>
      </c>
      <c r="D5112">
        <v>765</v>
      </c>
    </row>
    <row r="5113" spans="1:4" x14ac:dyDescent="0.25">
      <c r="A5113" t="str">
        <f>T("   750400")</f>
        <v xml:space="preserve">   750400</v>
      </c>
      <c r="B5113" t="str">
        <f>T("   Poudres et paillettes de nickel (sauf sinters d'oxydes de nickel)")</f>
        <v xml:space="preserve">   Poudres et paillettes de nickel (sauf sinters d'oxydes de nickel)</v>
      </c>
      <c r="C5113">
        <v>502341</v>
      </c>
      <c r="D5113">
        <v>91</v>
      </c>
    </row>
    <row r="5114" spans="1:4" x14ac:dyDescent="0.25">
      <c r="A5114" t="str">
        <f>T("   760320")</f>
        <v xml:space="preserve">   760320</v>
      </c>
      <c r="B5114" t="str">
        <f>T("   Poudres d'aluminium, à structure lamellaire; paillettes d'aluminium (sauf boulettes d'aluminium et sauf paillettes découpées)")</f>
        <v xml:space="preserve">   Poudres d'aluminium, à structure lamellaire; paillettes d'aluminium (sauf boulettes d'aluminium et sauf paillettes découpées)</v>
      </c>
      <c r="C5114">
        <v>2784550</v>
      </c>
      <c r="D5114">
        <v>200</v>
      </c>
    </row>
    <row r="5115" spans="1:4" x14ac:dyDescent="0.25">
      <c r="A5115" t="str">
        <f>T("   760429")</f>
        <v xml:space="preserve">   760429</v>
      </c>
      <c r="B5115" t="str">
        <f>T("   Barres et profilés pleins en alliages d'aluminium, n.d.a.")</f>
        <v xml:space="preserve">   Barres et profilés pleins en alliages d'aluminium, n.d.a.</v>
      </c>
      <c r="C5115">
        <v>2467551</v>
      </c>
      <c r="D5115">
        <v>1322</v>
      </c>
    </row>
    <row r="5116" spans="1:4" x14ac:dyDescent="0.25">
      <c r="A5116" t="str">
        <f>T("   760611")</f>
        <v xml:space="preserve">   760611</v>
      </c>
      <c r="B5116" t="str">
        <f>T("   TÔLES ET BANDES EN ALUMINIUM NON-ALLIÉ, D'UNE ÉPAISSEUR &gt; 0,2 MM, DE FORME CARRÉE OU RECTANGULAIRE (SAUF TÔLES ET BANDES DÉPLOYÉES)")</f>
        <v xml:space="preserve">   TÔLES ET BANDES EN ALUMINIUM NON-ALLIÉ, D'UNE ÉPAISSEUR &gt; 0,2 MM, DE FORME CARRÉE OU RECTANGULAIRE (SAUF TÔLES ET BANDES DÉPLOYÉES)</v>
      </c>
      <c r="C5116">
        <v>5681269</v>
      </c>
      <c r="D5116">
        <v>1634</v>
      </c>
    </row>
    <row r="5117" spans="1:4" x14ac:dyDescent="0.25">
      <c r="A5117" t="str">
        <f>T("   760692")</f>
        <v xml:space="preserve">   760692</v>
      </c>
      <c r="B5117" t="str">
        <f>T("   Tôles et bandes en alliages d'aluminium, d'une épaisseur &gt; 0,2 mm, de forme autre que carrée ou rectangulaire")</f>
        <v xml:space="preserve">   Tôles et bandes en alliages d'aluminium, d'une épaisseur &gt; 0,2 mm, de forme autre que carrée ou rectangulaire</v>
      </c>
      <c r="C5117">
        <v>17861790</v>
      </c>
      <c r="D5117">
        <v>24969</v>
      </c>
    </row>
    <row r="5118" spans="1:4" x14ac:dyDescent="0.25">
      <c r="A5118" t="str">
        <f>T("   760711")</f>
        <v xml:space="preserve">   760711</v>
      </c>
      <c r="B5118" t="str">
        <f>T("   FEUILLES ET BANDES MINCES D'ALUMINIUM, SANS SUPPORT, SIMPL. LAMINÉES, D'UNE ÉPAISSEUR &lt;= 0,2 MM (SAUF FEUILLES POUR LE MARQUAGE AU FER DU N° 3212 ET SAUF FEUILLES TRAVAILLÉES POUR LA DÉCORATION DES SAPINS DE NOËL)")</f>
        <v xml:space="preserve">   FEUILLES ET BANDES MINCES D'ALUMINIUM, SANS SUPPORT, SIMPL. LAMINÉES, D'UNE ÉPAISSEUR &lt;= 0,2 MM (SAUF FEUILLES POUR LE MARQUAGE AU FER DU N° 3212 ET SAUF FEUILLES TRAVAILLÉES POUR LA DÉCORATION DES SAPINS DE NOËL)</v>
      </c>
      <c r="C5118">
        <v>778625</v>
      </c>
      <c r="D5118">
        <v>1025</v>
      </c>
    </row>
    <row r="5119" spans="1:4" x14ac:dyDescent="0.25">
      <c r="A5119" t="str">
        <f>T("   760719")</f>
        <v xml:space="preserve">   760719</v>
      </c>
      <c r="B5119" t="str">
        <f>T("   Feuilles et bandes minces d'aluminium, sans support, laminées et autrement traitées, d'une épaisseur &lt;= 0,2 mm (sauf feuilles pour le marquage au fer du n° 3212 et sauf feuilles travaillées pour la décoration des sapins de Noël)")</f>
        <v xml:space="preserve">   Feuilles et bandes minces d'aluminium, sans support, laminées et autrement traitées, d'une épaisseur &lt;= 0,2 mm (sauf feuilles pour le marquage au fer du n° 3212 et sauf feuilles travaillées pour la décoration des sapins de Noël)</v>
      </c>
      <c r="C5119">
        <v>65587905</v>
      </c>
      <c r="D5119">
        <v>5782</v>
      </c>
    </row>
    <row r="5120" spans="1:4" x14ac:dyDescent="0.25">
      <c r="A5120" t="str">
        <f>T("   760720")</f>
        <v xml:space="preserve">   760720</v>
      </c>
      <c r="B5120" t="str">
        <f>T("   Feuilles et bandes minces d'aluminium, sur support, d'une épaisseur, support non compris, &lt;= 0,2 mm (sauf feuilles pour le marquage au fer du n° 3212 et sauf feuilles travaillées pour la décoration des sapins de Noël)")</f>
        <v xml:space="preserve">   Feuilles et bandes minces d'aluminium, sur support, d'une épaisseur, support non compris, &lt;= 0,2 mm (sauf feuilles pour le marquage au fer du n° 3212 et sauf feuilles travaillées pour la décoration des sapins de Noël)</v>
      </c>
      <c r="C5120">
        <v>3524344</v>
      </c>
      <c r="D5120">
        <v>1955</v>
      </c>
    </row>
    <row r="5121" spans="1:4" x14ac:dyDescent="0.25">
      <c r="A5121" t="str">
        <f>T("   760900")</f>
        <v xml:space="preserve">   760900</v>
      </c>
      <c r="B5121" t="str">
        <f>T("   Accessoires de tuyauterie, p.ex. raccords, coudes, manchons, en aluminium")</f>
        <v xml:space="preserve">   Accessoires de tuyauterie, p.ex. raccords, coudes, manchons, en aluminium</v>
      </c>
      <c r="C5121">
        <v>102330</v>
      </c>
      <c r="D5121">
        <v>5</v>
      </c>
    </row>
    <row r="5122" spans="1:4" x14ac:dyDescent="0.25">
      <c r="A5122" t="str">
        <f>T("   761010")</f>
        <v xml:space="preserve">   761010</v>
      </c>
      <c r="B5122" t="str">
        <f>T("   Portes, fenêtres et leurs cadres, chambranles et seuils, en aluminium (sauf pièces de garnissage)")</f>
        <v xml:space="preserve">   Portes, fenêtres et leurs cadres, chambranles et seuils, en aluminium (sauf pièces de garnissage)</v>
      </c>
      <c r="C5122">
        <v>668609</v>
      </c>
      <c r="D5122">
        <v>2248</v>
      </c>
    </row>
    <row r="5123" spans="1:4" x14ac:dyDescent="0.25">
      <c r="A5123" t="str">
        <f>T("   761090")</f>
        <v xml:space="preserve">   761090</v>
      </c>
      <c r="B5123" t="str">
        <f>T("   Constructions et parties de constructions, en aluminium, n.d.a., ainsi que tôles, barres, profilés, tubes, tuyaux et simil., en aluminium, n.d.a; (sauf constructions préfabriquées du n° 9406, portes, fenêtres et leurs cadres, chambranles et seuils)")</f>
        <v xml:space="preserve">   Constructions et parties de constructions, en aluminium, n.d.a., ainsi que tôles, barres, profilés, tubes, tuyaux et simil., en aluminium, n.d.a; (sauf constructions préfabriquées du n° 9406, portes, fenêtres et leurs cadres, chambranles et seuils)</v>
      </c>
      <c r="C5123">
        <v>6911529</v>
      </c>
      <c r="D5123">
        <v>5024</v>
      </c>
    </row>
    <row r="5124" spans="1:4" x14ac:dyDescent="0.25">
      <c r="A5124" t="str">
        <f>T("   761290")</f>
        <v xml:space="preserve">   761290</v>
      </c>
      <c r="B5124" t="str">
        <f>T("   Réservoirs, fûts, tambours, bidons, boîtes et récipients simil., en aluminium, y.c. les étuis tubulaires rigides, pour toutes matières, sauf gaz comprimés ou liquéfiés, d'une contenance &lt;= 300 l, n.d.a.")</f>
        <v xml:space="preserve">   Réservoirs, fûts, tambours, bidons, boîtes et récipients simil., en aluminium, y.c. les étuis tubulaires rigides, pour toutes matières, sauf gaz comprimés ou liquéfiés, d'une contenance &lt;= 300 l, n.d.a.</v>
      </c>
      <c r="C5124">
        <v>4212575</v>
      </c>
      <c r="D5124">
        <v>325</v>
      </c>
    </row>
    <row r="5125" spans="1:4" x14ac:dyDescent="0.25">
      <c r="A5125" t="str">
        <f>T("   761519")</f>
        <v xml:space="preserve">   761519</v>
      </c>
      <c r="B5125" t="s">
        <v>373</v>
      </c>
      <c r="C5125">
        <v>58780241</v>
      </c>
      <c r="D5125">
        <v>20052</v>
      </c>
    </row>
    <row r="5126" spans="1:4" x14ac:dyDescent="0.25">
      <c r="A5126" t="str">
        <f>T("   761610")</f>
        <v xml:space="preserve">   761610</v>
      </c>
      <c r="B5126" t="s">
        <v>374</v>
      </c>
      <c r="C5126">
        <v>13579393</v>
      </c>
      <c r="D5126">
        <v>321</v>
      </c>
    </row>
    <row r="5127" spans="1:4" x14ac:dyDescent="0.25">
      <c r="A5127" t="str">
        <f>T("   761691")</f>
        <v xml:space="preserve">   761691</v>
      </c>
      <c r="B5127" t="str">
        <f>T("   Toiles métalliques, grillages et treillis, en fils d'aluminium (sauf toiles en fils métalliques pour revêtements, aménagements intérieurs et usages simil., toiles, grillages et treillis transformés en cribles ou tamis à main ou en pièces de machines)")</f>
        <v xml:space="preserve">   Toiles métalliques, grillages et treillis, en fils d'aluminium (sauf toiles en fils métalliques pour revêtements, aménagements intérieurs et usages simil., toiles, grillages et treillis transformés en cribles ou tamis à main ou en pièces de machines)</v>
      </c>
      <c r="C5127">
        <v>827166</v>
      </c>
      <c r="D5127">
        <v>393</v>
      </c>
    </row>
    <row r="5128" spans="1:4" x14ac:dyDescent="0.25">
      <c r="A5128" t="str">
        <f>T("   761699")</f>
        <v xml:space="preserve">   761699</v>
      </c>
      <c r="B5128" t="str">
        <f>T("   Ouvrages en aluminium, n.d.a.")</f>
        <v xml:space="preserve">   Ouvrages en aluminium, n.d.a.</v>
      </c>
      <c r="C5128">
        <v>49052007</v>
      </c>
      <c r="D5128">
        <v>24274</v>
      </c>
    </row>
    <row r="5129" spans="1:4" x14ac:dyDescent="0.25">
      <c r="A5129" t="str">
        <f>T("   780199")</f>
        <v xml:space="preserve">   780199</v>
      </c>
      <c r="B5129" t="str">
        <f>T("   Plomb sous forme brute (sauf plomb affiné et plomb contenant de l'antimoine comme autre élément prédominant en poids)")</f>
        <v xml:space="preserve">   Plomb sous forme brute (sauf plomb affiné et plomb contenant de l'antimoine comme autre élément prédominant en poids)</v>
      </c>
      <c r="C5129">
        <v>234906</v>
      </c>
      <c r="D5129">
        <v>0.5</v>
      </c>
    </row>
    <row r="5130" spans="1:4" x14ac:dyDescent="0.25">
      <c r="A5130" t="str">
        <f>T("   780600")</f>
        <v xml:space="preserve">   780600</v>
      </c>
      <c r="B5130" t="str">
        <f>T("   Ouvrages en plomb, n.d.a.")</f>
        <v xml:space="preserve">   Ouvrages en plomb, n.d.a.</v>
      </c>
      <c r="C5130">
        <v>36078</v>
      </c>
      <c r="D5130">
        <v>120</v>
      </c>
    </row>
    <row r="5131" spans="1:4" x14ac:dyDescent="0.25">
      <c r="A5131" t="str">
        <f>T("   790600")</f>
        <v xml:space="preserve">   790600</v>
      </c>
      <c r="B5131" t="str">
        <f>T("   Tubes, tuyaux et accessoires de tuyauterie -raccords, coudes, manchons, par exemple-, en zinc")</f>
        <v xml:space="preserve">   Tubes, tuyaux et accessoires de tuyauterie -raccords, coudes, manchons, par exemple-, en zinc</v>
      </c>
      <c r="C5131">
        <v>189572</v>
      </c>
      <c r="D5131">
        <v>19700</v>
      </c>
    </row>
    <row r="5132" spans="1:4" x14ac:dyDescent="0.25">
      <c r="A5132" t="str">
        <f>T("   800120")</f>
        <v xml:space="preserve">   800120</v>
      </c>
      <c r="B5132" t="str">
        <f>T("   Alliages d'étain sous forme brute")</f>
        <v xml:space="preserve">   Alliages d'étain sous forme brute</v>
      </c>
      <c r="C5132">
        <v>2038331</v>
      </c>
      <c r="D5132">
        <v>371</v>
      </c>
    </row>
    <row r="5133" spans="1:4" x14ac:dyDescent="0.25">
      <c r="A5133" t="str">
        <f>T("   820160")</f>
        <v xml:space="preserve">   820160</v>
      </c>
      <c r="B5133" t="str">
        <f>T("   Cisailles à haies, sécateurs et outils simil. maniés à deux mains, avec partie travaillante en métaux communs")</f>
        <v xml:space="preserve">   Cisailles à haies, sécateurs et outils simil. maniés à deux mains, avec partie travaillante en métaux communs</v>
      </c>
      <c r="C5133">
        <v>326668</v>
      </c>
      <c r="D5133">
        <v>43</v>
      </c>
    </row>
    <row r="5134" spans="1:4" x14ac:dyDescent="0.25">
      <c r="A5134" t="str">
        <f>T("   820190")</f>
        <v xml:space="preserve">   820190</v>
      </c>
      <c r="B5134" t="s">
        <v>375</v>
      </c>
      <c r="C5134">
        <v>1943610</v>
      </c>
      <c r="D5134">
        <v>744</v>
      </c>
    </row>
    <row r="5135" spans="1:4" x14ac:dyDescent="0.25">
      <c r="A5135" t="str">
        <f>T("   820210")</f>
        <v xml:space="preserve">   820210</v>
      </c>
      <c r="B5135" t="str">
        <f>T("   Scies à main, avec partie travaillante en métaux communs (à l'excl. des tronçonneuses)")</f>
        <v xml:space="preserve">   Scies à main, avec partie travaillante en métaux communs (à l'excl. des tronçonneuses)</v>
      </c>
      <c r="C5135">
        <v>3925409</v>
      </c>
      <c r="D5135">
        <v>290</v>
      </c>
    </row>
    <row r="5136" spans="1:4" x14ac:dyDescent="0.25">
      <c r="A5136" t="str">
        <f>T("   820220")</f>
        <v xml:space="preserve">   820220</v>
      </c>
      <c r="B5136" t="str">
        <f>T("   Lames de scies à ruban en métaux communs")</f>
        <v xml:space="preserve">   Lames de scies à ruban en métaux communs</v>
      </c>
      <c r="C5136">
        <v>8525620</v>
      </c>
      <c r="D5136">
        <v>1429.5</v>
      </c>
    </row>
    <row r="5137" spans="1:4" x14ac:dyDescent="0.25">
      <c r="A5137" t="str">
        <f>T("   820239")</f>
        <v xml:space="preserve">   820239</v>
      </c>
      <c r="B5137" t="str">
        <f>T("   Lames de scies circulaires, y.c. les lames de fraises-scies, et leurs parties, en métaux communs et avec partie travaillante en matières autres que l'acier")</f>
        <v xml:space="preserve">   Lames de scies circulaires, y.c. les lames de fraises-scies, et leurs parties, en métaux communs et avec partie travaillante en matières autres que l'acier</v>
      </c>
      <c r="C5137">
        <v>11371724</v>
      </c>
      <c r="D5137">
        <v>2238</v>
      </c>
    </row>
    <row r="5138" spans="1:4" x14ac:dyDescent="0.25">
      <c r="A5138" t="str">
        <f>T("   820240")</f>
        <v xml:space="preserve">   820240</v>
      </c>
      <c r="B5138" t="str">
        <f>T("   Chaînes de scies, dites -coupantes-, en métaux communs")</f>
        <v xml:space="preserve">   Chaînes de scies, dites -coupantes-, en métaux communs</v>
      </c>
      <c r="C5138">
        <v>1749446</v>
      </c>
      <c r="D5138">
        <v>286</v>
      </c>
    </row>
    <row r="5139" spans="1:4" x14ac:dyDescent="0.25">
      <c r="A5139" t="str">
        <f>T("   820299")</f>
        <v xml:space="preserve">   820299</v>
      </c>
      <c r="B5139" t="s">
        <v>376</v>
      </c>
      <c r="C5139">
        <v>5801050</v>
      </c>
      <c r="D5139">
        <v>219</v>
      </c>
    </row>
    <row r="5140" spans="1:4" x14ac:dyDescent="0.25">
      <c r="A5140" t="str">
        <f>T("   820310")</f>
        <v xml:space="preserve">   820310</v>
      </c>
      <c r="B5140" t="str">
        <f>T("   Limes, râpes et outils simil. à main, en métaux communs")</f>
        <v xml:space="preserve">   Limes, râpes et outils simil. à main, en métaux communs</v>
      </c>
      <c r="C5140">
        <v>807133</v>
      </c>
      <c r="D5140">
        <v>101</v>
      </c>
    </row>
    <row r="5141" spans="1:4" x14ac:dyDescent="0.25">
      <c r="A5141" t="str">
        <f>T("   820320")</f>
        <v xml:space="preserve">   820320</v>
      </c>
      <c r="B5141" t="str">
        <f>T("   PINCES -MÊME COUPANTES-, TENAILLES, BRUCELLES À USAGE NON-MÉDICAL ET OUTILS SIMIL. À MAIN, EN MÉTAUX COMMUNS")</f>
        <v xml:space="preserve">   PINCES -MÊME COUPANTES-, TENAILLES, BRUCELLES À USAGE NON-MÉDICAL ET OUTILS SIMIL. À MAIN, EN MÉTAUX COMMUNS</v>
      </c>
      <c r="C5141">
        <v>11720924</v>
      </c>
      <c r="D5141">
        <v>1503</v>
      </c>
    </row>
    <row r="5142" spans="1:4" x14ac:dyDescent="0.25">
      <c r="A5142" t="str">
        <f>T("   820330")</f>
        <v xml:space="preserve">   820330</v>
      </c>
      <c r="B5142" t="str">
        <f>T("   Cisailles à métaux et outils simil., à main, en métaux communs")</f>
        <v xml:space="preserve">   Cisailles à métaux et outils simil., à main, en métaux communs</v>
      </c>
      <c r="C5142">
        <v>2865890</v>
      </c>
      <c r="D5142">
        <v>202</v>
      </c>
    </row>
    <row r="5143" spans="1:4" x14ac:dyDescent="0.25">
      <c r="A5143" t="str">
        <f>T("   820340")</f>
        <v xml:space="preserve">   820340</v>
      </c>
      <c r="B5143" t="str">
        <f>T("   Coupe-tubes, coupe-boulons, emporte-pièce et outils simil., à main, en métaux communs")</f>
        <v xml:space="preserve">   Coupe-tubes, coupe-boulons, emporte-pièce et outils simil., à main, en métaux communs</v>
      </c>
      <c r="C5143">
        <v>3357414</v>
      </c>
      <c r="D5143">
        <v>385</v>
      </c>
    </row>
    <row r="5144" spans="1:4" x14ac:dyDescent="0.25">
      <c r="A5144" t="str">
        <f>T("   820411")</f>
        <v xml:space="preserve">   820411</v>
      </c>
      <c r="B5144" t="str">
        <f>T("   Clés de serrage à main, y.c. -les clés dynamométriques-, en métaux communs, à ouverture fixe")</f>
        <v xml:space="preserve">   Clés de serrage à main, y.c. -les clés dynamométriques-, en métaux communs, à ouverture fixe</v>
      </c>
      <c r="C5144">
        <v>17281993</v>
      </c>
      <c r="D5144">
        <v>3494</v>
      </c>
    </row>
    <row r="5145" spans="1:4" x14ac:dyDescent="0.25">
      <c r="A5145" t="str">
        <f>T("   820412")</f>
        <v xml:space="preserve">   820412</v>
      </c>
      <c r="B5145" t="str">
        <f>T("   Clés de serrage à main, y.c. -les clés dynamométriques-, en métaux communs, à ouverture variable")</f>
        <v xml:space="preserve">   Clés de serrage à main, y.c. -les clés dynamométriques-, en métaux communs, à ouverture variable</v>
      </c>
      <c r="C5145">
        <v>10901426</v>
      </c>
      <c r="D5145">
        <v>1127</v>
      </c>
    </row>
    <row r="5146" spans="1:4" x14ac:dyDescent="0.25">
      <c r="A5146" t="str">
        <f>T("   820420")</f>
        <v xml:space="preserve">   820420</v>
      </c>
      <c r="B5146" t="str">
        <f>T("   Douilles de serrage interchangeables, même avec manches, en métaux communs")</f>
        <v xml:space="preserve">   Douilles de serrage interchangeables, même avec manches, en métaux communs</v>
      </c>
      <c r="C5146">
        <v>20670427</v>
      </c>
      <c r="D5146">
        <v>711</v>
      </c>
    </row>
    <row r="5147" spans="1:4" x14ac:dyDescent="0.25">
      <c r="A5147" t="str">
        <f>T("   820510")</f>
        <v xml:space="preserve">   820510</v>
      </c>
      <c r="B5147" t="str">
        <f>T("   Outils de perçage, de filetage ou de taraudage, maniés à la main")</f>
        <v xml:space="preserve">   Outils de perçage, de filetage ou de taraudage, maniés à la main</v>
      </c>
      <c r="C5147">
        <v>816674</v>
      </c>
      <c r="D5147">
        <v>588</v>
      </c>
    </row>
    <row r="5148" spans="1:4" x14ac:dyDescent="0.25">
      <c r="A5148" t="str">
        <f>T("   820520")</f>
        <v xml:space="preserve">   820520</v>
      </c>
      <c r="B5148" t="str">
        <f>T("   Marteaux et masses, avec partie travaillante en métaux communs")</f>
        <v xml:space="preserve">   Marteaux et masses, avec partie travaillante en métaux communs</v>
      </c>
      <c r="C5148">
        <v>8419247</v>
      </c>
      <c r="D5148">
        <v>644</v>
      </c>
    </row>
    <row r="5149" spans="1:4" x14ac:dyDescent="0.25">
      <c r="A5149" t="str">
        <f>T("   820530")</f>
        <v xml:space="preserve">   820530</v>
      </c>
      <c r="B5149" t="str">
        <f>T("   Rabots, ciseaux, gouges et outils tranchants simil. à main pour le travail du bois")</f>
        <v xml:space="preserve">   Rabots, ciseaux, gouges et outils tranchants simil. à main pour le travail du bois</v>
      </c>
      <c r="C5149">
        <v>4478895</v>
      </c>
      <c r="D5149">
        <v>80</v>
      </c>
    </row>
    <row r="5150" spans="1:4" x14ac:dyDescent="0.25">
      <c r="A5150" t="str">
        <f>T("   820540")</f>
        <v xml:space="preserve">   820540</v>
      </c>
      <c r="B5150" t="str">
        <f>T("   Tournevis à main")</f>
        <v xml:space="preserve">   Tournevis à main</v>
      </c>
      <c r="C5150">
        <v>6806586</v>
      </c>
      <c r="D5150">
        <v>2865</v>
      </c>
    </row>
    <row r="5151" spans="1:4" x14ac:dyDescent="0.25">
      <c r="A5151" t="str">
        <f>T("   820551")</f>
        <v xml:space="preserve">   820551</v>
      </c>
      <c r="B5151" t="str">
        <f>T("   Outils à main d'économie domestique, non mécaniques, avec partie travaillante en métaux communs, n.d.a.")</f>
        <v xml:space="preserve">   Outils à main d'économie domestique, non mécaniques, avec partie travaillante en métaux communs, n.d.a.</v>
      </c>
      <c r="C5151">
        <v>21353468</v>
      </c>
      <c r="D5151">
        <v>8069</v>
      </c>
    </row>
    <row r="5152" spans="1:4" x14ac:dyDescent="0.25">
      <c r="A5152" t="str">
        <f>T("   820559")</f>
        <v xml:space="preserve">   820559</v>
      </c>
      <c r="B5152" t="str">
        <f>T("   Outils à main, y.c. -les diamants de vitrier-, en métaux communs, n.d.a.")</f>
        <v xml:space="preserve">   Outils à main, y.c. -les diamants de vitrier-, en métaux communs, n.d.a.</v>
      </c>
      <c r="C5152">
        <v>70648216</v>
      </c>
      <c r="D5152">
        <v>23214.04</v>
      </c>
    </row>
    <row r="5153" spans="1:4" x14ac:dyDescent="0.25">
      <c r="A5153" t="str">
        <f>T("   820560")</f>
        <v xml:space="preserve">   820560</v>
      </c>
      <c r="B5153" t="str">
        <f>T("   Lampes à souder et simil. (sauf appareils à souder fonctionnant au gaz)")</f>
        <v xml:space="preserve">   Lampes à souder et simil. (sauf appareils à souder fonctionnant au gaz)</v>
      </c>
      <c r="C5153">
        <v>12946263</v>
      </c>
      <c r="D5153">
        <v>15162</v>
      </c>
    </row>
    <row r="5154" spans="1:4" x14ac:dyDescent="0.25">
      <c r="A5154" t="str">
        <f>T("   820570")</f>
        <v xml:space="preserve">   820570</v>
      </c>
      <c r="B5154" t="str">
        <f>T("   Etaux, serre-joints et simil. (autres que ceux constituant des accessoires ou des parties de machines-outils)")</f>
        <v xml:space="preserve">   Etaux, serre-joints et simil. (autres que ceux constituant des accessoires ou des parties de machines-outils)</v>
      </c>
      <c r="C5154">
        <v>399808</v>
      </c>
      <c r="D5154">
        <v>93</v>
      </c>
    </row>
    <row r="5155" spans="1:4" x14ac:dyDescent="0.25">
      <c r="A5155" t="str">
        <f>T("   820580")</f>
        <v xml:space="preserve">   820580</v>
      </c>
      <c r="B5155" t="str">
        <f>T("   Enclumes; forges portatives; meules avec bâtis, à main ou à pédale")</f>
        <v xml:space="preserve">   Enclumes; forges portatives; meules avec bâtis, à main ou à pédale</v>
      </c>
      <c r="C5155">
        <v>1075119</v>
      </c>
      <c r="D5155">
        <v>56</v>
      </c>
    </row>
    <row r="5156" spans="1:4" x14ac:dyDescent="0.25">
      <c r="A5156" t="str">
        <f>T("   820590")</f>
        <v xml:space="preserve">   820590</v>
      </c>
      <c r="B5156" t="str">
        <f>T("   Assortiments d'outils d'au moins deux des sous-positions du n° 8205")</f>
        <v xml:space="preserve">   Assortiments d'outils d'au moins deux des sous-positions du n° 8205</v>
      </c>
      <c r="C5156">
        <v>24071568</v>
      </c>
      <c r="D5156">
        <v>4118</v>
      </c>
    </row>
    <row r="5157" spans="1:4" x14ac:dyDescent="0.25">
      <c r="A5157" t="str">
        <f>T("   820600")</f>
        <v xml:space="preserve">   820600</v>
      </c>
      <c r="B5157" t="str">
        <f>T("   Outils d'au moins deux du n° 8202 à 8205, conditionnés en assortiments pour la vente au détail")</f>
        <v xml:space="preserve">   Outils d'au moins deux du n° 8202 à 8205, conditionnés en assortiments pour la vente au détail</v>
      </c>
      <c r="C5157">
        <v>12027037</v>
      </c>
      <c r="D5157">
        <v>699</v>
      </c>
    </row>
    <row r="5158" spans="1:4" x14ac:dyDescent="0.25">
      <c r="A5158" t="str">
        <f>T("   820713")</f>
        <v xml:space="preserve">   820713</v>
      </c>
      <c r="B5158" t="str">
        <f>T("   Outils de forage ou de sondage, interchangeables, avec partie travaillante en carbures métalliques frittés ou en cermets")</f>
        <v xml:space="preserve">   Outils de forage ou de sondage, interchangeables, avec partie travaillante en carbures métalliques frittés ou en cermets</v>
      </c>
      <c r="C5158">
        <v>2116128</v>
      </c>
      <c r="D5158">
        <v>83</v>
      </c>
    </row>
    <row r="5159" spans="1:4" x14ac:dyDescent="0.25">
      <c r="A5159" t="str">
        <f>T("   820719")</f>
        <v xml:space="preserve">   820719</v>
      </c>
      <c r="B5159" t="str">
        <f>T("   Outils de forage ou de sondage, interchangeables, et leurs parties, avec partie travaillante en matières autres qu'en carbures métalliques frittés ou en cermets")</f>
        <v xml:space="preserve">   Outils de forage ou de sondage, interchangeables, et leurs parties, avec partie travaillante en matières autres qu'en carbures métalliques frittés ou en cermets</v>
      </c>
      <c r="C5159">
        <v>34609873</v>
      </c>
      <c r="D5159">
        <v>9058</v>
      </c>
    </row>
    <row r="5160" spans="1:4" x14ac:dyDescent="0.25">
      <c r="A5160" t="str">
        <f>T("   820720")</f>
        <v xml:space="preserve">   820720</v>
      </c>
      <c r="B5160" t="str">
        <f>T("   Filières interchangeables pour l'étirage ou le filage -extrusion- des métaux")</f>
        <v xml:space="preserve">   Filières interchangeables pour l'étirage ou le filage -extrusion- des métaux</v>
      </c>
      <c r="C5160">
        <v>4991200</v>
      </c>
      <c r="D5160">
        <v>211</v>
      </c>
    </row>
    <row r="5161" spans="1:4" x14ac:dyDescent="0.25">
      <c r="A5161" t="str">
        <f>T("   820740")</f>
        <v xml:space="preserve">   820740</v>
      </c>
      <c r="B5161" t="str">
        <f>T("   Outils interchangeables à tarauder ou à fileter")</f>
        <v xml:space="preserve">   Outils interchangeables à tarauder ou à fileter</v>
      </c>
      <c r="C5161">
        <v>569373</v>
      </c>
      <c r="D5161">
        <v>328</v>
      </c>
    </row>
    <row r="5162" spans="1:4" x14ac:dyDescent="0.25">
      <c r="A5162" t="str">
        <f>T("   820750")</f>
        <v xml:space="preserve">   820750</v>
      </c>
      <c r="B5162" t="str">
        <f>T("   OUTILS INTERCHANGEABLES À PERCER (À L'EXCL. DES OUTILS DE FORAGE OU DE SONDAGE ET DES OUTILS À TARAUDER) [01/01/1988-31/12/1993: OUTILS INTERCHANGEABLES (SAUF OUTILS DE FORAGE OU DE SONDAGE ET SAUF OUTILS A TARAUDER OU A FILETER)]")</f>
        <v xml:space="preserve">   OUTILS INTERCHANGEABLES À PERCER (À L'EXCL. DES OUTILS DE FORAGE OU DE SONDAGE ET DES OUTILS À TARAUDER) [01/01/1988-31/12/1993: OUTILS INTERCHANGEABLES (SAUF OUTILS DE FORAGE OU DE SONDAGE ET SAUF OUTILS A TARAUDER OU A FILETER)]</v>
      </c>
      <c r="C5162">
        <v>3473309</v>
      </c>
      <c r="D5162">
        <v>791</v>
      </c>
    </row>
    <row r="5163" spans="1:4" x14ac:dyDescent="0.25">
      <c r="A5163" t="str">
        <f>T("   820760")</f>
        <v xml:space="preserve">   820760</v>
      </c>
      <c r="B5163" t="str">
        <f>T("   Outils interchangeables à aléser ou à brocher")</f>
        <v xml:space="preserve">   Outils interchangeables à aléser ou à brocher</v>
      </c>
      <c r="C5163">
        <v>1026627</v>
      </c>
      <c r="D5163">
        <v>22</v>
      </c>
    </row>
    <row r="5164" spans="1:4" x14ac:dyDescent="0.25">
      <c r="A5164" t="str">
        <f>T("   820770")</f>
        <v xml:space="preserve">   820770</v>
      </c>
      <c r="B5164" t="str">
        <f>T("   Outils interchangeables à fraiser")</f>
        <v xml:space="preserve">   Outils interchangeables à fraiser</v>
      </c>
      <c r="C5164">
        <v>1449016</v>
      </c>
      <c r="D5164">
        <v>29</v>
      </c>
    </row>
    <row r="5165" spans="1:4" x14ac:dyDescent="0.25">
      <c r="A5165" t="str">
        <f>T("   820780")</f>
        <v xml:space="preserve">   820780</v>
      </c>
      <c r="B5165" t="str">
        <f>T("   Outils interchangeables à tourner")</f>
        <v xml:space="preserve">   Outils interchangeables à tourner</v>
      </c>
      <c r="C5165">
        <v>432422</v>
      </c>
      <c r="D5165">
        <v>47</v>
      </c>
    </row>
    <row r="5166" spans="1:4" x14ac:dyDescent="0.25">
      <c r="A5166" t="str">
        <f>T("   820790")</f>
        <v xml:space="preserve">   820790</v>
      </c>
      <c r="B5166" t="str">
        <f>T("   Outils interchangeables pour outillage à main, mécanique ou non, ou pour machines-outils, n.d.a.")</f>
        <v xml:space="preserve">   Outils interchangeables pour outillage à main, mécanique ou non, ou pour machines-outils, n.d.a.</v>
      </c>
      <c r="C5166">
        <v>42879182</v>
      </c>
      <c r="D5166">
        <v>14636</v>
      </c>
    </row>
    <row r="5167" spans="1:4" x14ac:dyDescent="0.25">
      <c r="A5167" t="str">
        <f>T("   820810")</f>
        <v xml:space="preserve">   820810</v>
      </c>
      <c r="B5167" t="str">
        <f>T("   Couteaux et lames tranchantes, en métaux communs, pour machines ou pour appareils mécaniques, pour le travail des métaux")</f>
        <v xml:space="preserve">   Couteaux et lames tranchantes, en métaux communs, pour machines ou pour appareils mécaniques, pour le travail des métaux</v>
      </c>
      <c r="C5167">
        <v>1394446</v>
      </c>
      <c r="D5167">
        <v>0.5</v>
      </c>
    </row>
    <row r="5168" spans="1:4" x14ac:dyDescent="0.25">
      <c r="A5168" t="str">
        <f>T("   820890")</f>
        <v xml:space="preserve">   820890</v>
      </c>
      <c r="B5168" t="s">
        <v>377</v>
      </c>
      <c r="C5168">
        <v>8096469</v>
      </c>
      <c r="D5168">
        <v>359</v>
      </c>
    </row>
    <row r="5169" spans="1:4" x14ac:dyDescent="0.25">
      <c r="A5169" t="str">
        <f>T("   820900")</f>
        <v xml:space="preserve">   820900</v>
      </c>
      <c r="B5169" t="str">
        <f>T("   PLAQUETTES, BAGUETTES, POINTES ET OBJETS SIMIL. POUR OUTILS, NON-MONTÉS, CONSTITUÉS PAR DES CARBURES MÉTALLIQUES FRITTÉS OU DES CERMETS")</f>
        <v xml:space="preserve">   PLAQUETTES, BAGUETTES, POINTES ET OBJETS SIMIL. POUR OUTILS, NON-MONTÉS, CONSTITUÉS PAR DES CARBURES MÉTALLIQUES FRITTÉS OU DES CERMETS</v>
      </c>
      <c r="C5169">
        <v>50081498</v>
      </c>
      <c r="D5169">
        <v>1084.5</v>
      </c>
    </row>
    <row r="5170" spans="1:4" x14ac:dyDescent="0.25">
      <c r="A5170" t="str">
        <f>T("   821000")</f>
        <v xml:space="preserve">   821000</v>
      </c>
      <c r="B5170" t="s">
        <v>378</v>
      </c>
      <c r="C5170">
        <v>6093216</v>
      </c>
      <c r="D5170">
        <v>561</v>
      </c>
    </row>
    <row r="5171" spans="1:4" x14ac:dyDescent="0.25">
      <c r="A5171" t="str">
        <f>T("   821192")</f>
        <v xml:space="preserve">   821192</v>
      </c>
      <c r="B5171" t="s">
        <v>379</v>
      </c>
      <c r="C5171">
        <v>2462475</v>
      </c>
      <c r="D5171">
        <v>339</v>
      </c>
    </row>
    <row r="5172" spans="1:4" x14ac:dyDescent="0.25">
      <c r="A5172" t="str">
        <f>T("   821193")</f>
        <v xml:space="preserve">   821193</v>
      </c>
      <c r="B5172" t="str">
        <f>T("   Couteaux à lame non fixe, y.c. les serpettes fermantes, en métaux communs (sauf rasoirs à lame)")</f>
        <v xml:space="preserve">   Couteaux à lame non fixe, y.c. les serpettes fermantes, en métaux communs (sauf rasoirs à lame)</v>
      </c>
      <c r="C5172">
        <v>3280</v>
      </c>
      <c r="D5172">
        <v>2</v>
      </c>
    </row>
    <row r="5173" spans="1:4" x14ac:dyDescent="0.25">
      <c r="A5173" t="str">
        <f>T("   821195")</f>
        <v xml:space="preserve">   821195</v>
      </c>
      <c r="B5173" t="str">
        <f>T("   Manches en métaux communs pour couteaux de table, couteaux de poche -canifs-, et autres couteaux du n° 8211")</f>
        <v xml:space="preserve">   Manches en métaux communs pour couteaux de table, couteaux de poche -canifs-, et autres couteaux du n° 8211</v>
      </c>
      <c r="C5173">
        <v>10586539</v>
      </c>
      <c r="D5173">
        <v>2645</v>
      </c>
    </row>
    <row r="5174" spans="1:4" x14ac:dyDescent="0.25">
      <c r="A5174" t="str">
        <f>T("   821210")</f>
        <v xml:space="preserve">   821210</v>
      </c>
      <c r="B5174" t="str">
        <f>T("   Rasoirs et rasoirs de sûreté non-électriques, en métaux communs")</f>
        <v xml:space="preserve">   Rasoirs et rasoirs de sûreté non-électriques, en métaux communs</v>
      </c>
      <c r="C5174">
        <v>19177429</v>
      </c>
      <c r="D5174">
        <v>4152</v>
      </c>
    </row>
    <row r="5175" spans="1:4" x14ac:dyDescent="0.25">
      <c r="A5175" t="str">
        <f>T("   821300")</f>
        <v xml:space="preserve">   821300</v>
      </c>
      <c r="B5175" t="str">
        <f>T("   Ciseaux à doubles branches et leurs lames, en métaux communs (sauf taille-haies, cisailles et articles simil. actionnés des deux mains, sécateurs et articles simil. actionnés d'une main et sauf ciseaux spéciaux de maréchal-ferrant)")</f>
        <v xml:space="preserve">   Ciseaux à doubles branches et leurs lames, en métaux communs (sauf taille-haies, cisailles et articles simil. actionnés des deux mains, sécateurs et articles simil. actionnés d'une main et sauf ciseaux spéciaux de maréchal-ferrant)</v>
      </c>
      <c r="C5175">
        <v>4430479</v>
      </c>
      <c r="D5175">
        <v>1453</v>
      </c>
    </row>
    <row r="5176" spans="1:4" x14ac:dyDescent="0.25">
      <c r="A5176" t="str">
        <f>T("   821410")</f>
        <v xml:space="preserve">   821410</v>
      </c>
      <c r="B5176" t="str">
        <f>T("   Coupe-papier, ouvre-lettres, grattoirs, taille-crayons et leurs lames, en métaux communs (sauf machines, appareils et instruments à usage similaire du chapitre 84)")</f>
        <v xml:space="preserve">   Coupe-papier, ouvre-lettres, grattoirs, taille-crayons et leurs lames, en métaux communs (sauf machines, appareils et instruments à usage similaire du chapitre 84)</v>
      </c>
      <c r="C5176">
        <v>51821</v>
      </c>
      <c r="D5176">
        <v>12</v>
      </c>
    </row>
    <row r="5177" spans="1:4" x14ac:dyDescent="0.25">
      <c r="A5177" t="str">
        <f>T("   821420")</f>
        <v xml:space="preserve">   821420</v>
      </c>
      <c r="B5177" t="str">
        <f>T("   Outils et assortiments d'outils de manucure ou de pédicure, y.c. -les limes à ongles-, en métaux communs (sauf ciseaux ordinaires)")</f>
        <v xml:space="preserve">   Outils et assortiments d'outils de manucure ou de pédicure, y.c. -les limes à ongles-, en métaux communs (sauf ciseaux ordinaires)</v>
      </c>
      <c r="C5177">
        <v>2983675</v>
      </c>
      <c r="D5177">
        <v>434</v>
      </c>
    </row>
    <row r="5178" spans="1:4" x14ac:dyDescent="0.25">
      <c r="A5178" t="str">
        <f>T("   821490")</f>
        <v xml:space="preserve">   821490</v>
      </c>
      <c r="B5178" t="str">
        <f>T("   Tondeuses de coiffeur et autres articles à couper, n.d.a., en métaux communs")</f>
        <v xml:space="preserve">   Tondeuses de coiffeur et autres articles à couper, n.d.a., en métaux communs</v>
      </c>
      <c r="C5178">
        <v>1384732</v>
      </c>
      <c r="D5178">
        <v>171</v>
      </c>
    </row>
    <row r="5179" spans="1:4" x14ac:dyDescent="0.25">
      <c r="A5179" t="str">
        <f>T("   821520")</f>
        <v xml:space="preserve">   821520</v>
      </c>
      <c r="B5179" t="str">
        <f>T("   ASSORTIMENTS COMPOSÉS D'UN OU PLUSIEURS COUTEAUX DU N° 8211 ET D'UN NOMBRE AU MOINS ÉGAL DE CUILLERS, FOURCHETTES OU AUTRES ARTICLES DU N° N° 8215, EN MÉTAUX COMMUNS, NE COMPRENANT AUCUNE PARTIE ARGENTÉE, DORÉE OU PLATINÉE")</f>
        <v xml:space="preserve">   ASSORTIMENTS COMPOSÉS D'UN OU PLUSIEURS COUTEAUX DU N° 8211 ET D'UN NOMBRE AU MOINS ÉGAL DE CUILLERS, FOURCHETTES OU AUTRES ARTICLES DU N° N° 8215, EN MÉTAUX COMMUNS, NE COMPRENANT AUCUNE PARTIE ARGENTÉE, DORÉE OU PLATINÉE</v>
      </c>
      <c r="C5179">
        <v>2394323</v>
      </c>
      <c r="D5179">
        <v>481</v>
      </c>
    </row>
    <row r="5180" spans="1:4" x14ac:dyDescent="0.25">
      <c r="A5180" t="str">
        <f>T("   821599")</f>
        <v xml:space="preserve">   821599</v>
      </c>
      <c r="B5180" t="s">
        <v>380</v>
      </c>
      <c r="C5180">
        <v>27316286</v>
      </c>
      <c r="D5180">
        <v>7107</v>
      </c>
    </row>
    <row r="5181" spans="1:4" x14ac:dyDescent="0.25">
      <c r="A5181" t="str">
        <f>T("   830110")</f>
        <v xml:space="preserve">   830110</v>
      </c>
      <c r="B5181" t="str">
        <f>T("   Cadenas, en métaux communs")</f>
        <v xml:space="preserve">   Cadenas, en métaux communs</v>
      </c>
      <c r="C5181">
        <v>80141912</v>
      </c>
      <c r="D5181">
        <v>5028</v>
      </c>
    </row>
    <row r="5182" spans="1:4" x14ac:dyDescent="0.25">
      <c r="A5182" t="str">
        <f>T("   830120")</f>
        <v xml:space="preserve">   830120</v>
      </c>
      <c r="B5182" t="str">
        <f>T("   Serrures des types utilisés pour véhicules automobiles, en métaux communs")</f>
        <v xml:space="preserve">   Serrures des types utilisés pour véhicules automobiles, en métaux communs</v>
      </c>
      <c r="C5182">
        <v>3562638</v>
      </c>
      <c r="D5182">
        <v>1120</v>
      </c>
    </row>
    <row r="5183" spans="1:4" x14ac:dyDescent="0.25">
      <c r="A5183" t="str">
        <f>T("   830130")</f>
        <v xml:space="preserve">   830130</v>
      </c>
      <c r="B5183" t="str">
        <f>T("   Serrures des types utilisés pour meubles, en métaux communs")</f>
        <v xml:space="preserve">   Serrures des types utilisés pour meubles, en métaux communs</v>
      </c>
      <c r="C5183">
        <v>6307050</v>
      </c>
      <c r="D5183">
        <v>1818.8</v>
      </c>
    </row>
    <row r="5184" spans="1:4" x14ac:dyDescent="0.25">
      <c r="A5184" t="str">
        <f>T("   830140")</f>
        <v xml:space="preserve">   830140</v>
      </c>
      <c r="B5184" t="str">
        <f>T("   Serrures et verrous, en métaux communs (autres que cadenas et serrures des types utilisés pour véhicules automobiles ou meubles)")</f>
        <v xml:space="preserve">   Serrures et verrous, en métaux communs (autres que cadenas et serrures des types utilisés pour véhicules automobiles ou meubles)</v>
      </c>
      <c r="C5184">
        <v>45028261</v>
      </c>
      <c r="D5184">
        <v>43002.47</v>
      </c>
    </row>
    <row r="5185" spans="1:4" x14ac:dyDescent="0.25">
      <c r="A5185" t="str">
        <f>T("   830150")</f>
        <v xml:space="preserve">   830150</v>
      </c>
      <c r="B5185" t="str">
        <f>T("   Fermoirs et montures-fermoirs avec serrure, en métaux communs")</f>
        <v xml:space="preserve">   Fermoirs et montures-fermoirs avec serrure, en métaux communs</v>
      </c>
      <c r="C5185">
        <v>1659874</v>
      </c>
      <c r="D5185">
        <v>1039.4000000000001</v>
      </c>
    </row>
    <row r="5186" spans="1:4" x14ac:dyDescent="0.25">
      <c r="A5186" t="str">
        <f>T("   830160")</f>
        <v xml:space="preserve">   830160</v>
      </c>
      <c r="B5186" t="str">
        <f>T("   Parties des cadenas, serrures et verrous, ainsi que des fermoirs et montures-fermoirs, avec serrure, en métaux communs, n.d.a.")</f>
        <v xml:space="preserve">   Parties des cadenas, serrures et verrous, ainsi que des fermoirs et montures-fermoirs, avec serrure, en métaux communs, n.d.a.</v>
      </c>
      <c r="C5186">
        <v>88245943</v>
      </c>
      <c r="D5186">
        <v>6341</v>
      </c>
    </row>
    <row r="5187" spans="1:4" x14ac:dyDescent="0.25">
      <c r="A5187" t="str">
        <f>T("   830170")</f>
        <v xml:space="preserve">   830170</v>
      </c>
      <c r="B5187" t="str">
        <f>T("   Clefs présentées isolément, pour cadenas, serrures et verrous, ainsi que pour fermoirs et montures-fermoirs avec serrure, en métaux communs")</f>
        <v xml:space="preserve">   Clefs présentées isolément, pour cadenas, serrures et verrous, ainsi que pour fermoirs et montures-fermoirs avec serrure, en métaux communs</v>
      </c>
      <c r="C5187">
        <v>6441290</v>
      </c>
      <c r="D5187">
        <v>69.400000000000006</v>
      </c>
    </row>
    <row r="5188" spans="1:4" x14ac:dyDescent="0.25">
      <c r="A5188" t="str">
        <f>T("   830210")</f>
        <v xml:space="preserve">   830210</v>
      </c>
      <c r="B5188" t="str">
        <f>T("   Charnières de tous genres, y.c. les paumelles et pentures, en métaux communs")</f>
        <v xml:space="preserve">   Charnières de tous genres, y.c. les paumelles et pentures, en métaux communs</v>
      </c>
      <c r="C5188">
        <v>12307908</v>
      </c>
      <c r="D5188">
        <v>2350</v>
      </c>
    </row>
    <row r="5189" spans="1:4" x14ac:dyDescent="0.25">
      <c r="A5189" t="str">
        <f>T("   830220")</f>
        <v xml:space="preserve">   830220</v>
      </c>
      <c r="B5189" t="str">
        <f>T("   Roulettes avec monture en métaux communs")</f>
        <v xml:space="preserve">   Roulettes avec monture en métaux communs</v>
      </c>
      <c r="C5189">
        <v>163183</v>
      </c>
      <c r="D5189">
        <v>98</v>
      </c>
    </row>
    <row r="5190" spans="1:4" x14ac:dyDescent="0.25">
      <c r="A5190" t="str">
        <f>T("   830230")</f>
        <v xml:space="preserve">   830230</v>
      </c>
      <c r="B5190" t="str">
        <f>T("   Garnitures, ferrures et simil. en métaux communs, pour véhicules automobiles (sauf charnières et serrures)")</f>
        <v xml:space="preserve">   Garnitures, ferrures et simil. en métaux communs, pour véhicules automobiles (sauf charnières et serrures)</v>
      </c>
      <c r="C5190">
        <v>583148</v>
      </c>
      <c r="D5190">
        <v>67</v>
      </c>
    </row>
    <row r="5191" spans="1:4" x14ac:dyDescent="0.25">
      <c r="A5191" t="str">
        <f>T("   830241")</f>
        <v xml:space="preserve">   830241</v>
      </c>
      <c r="B5191" t="str">
        <f>T("   Garnitures, ferrures et simil., pour bâtiments, en métaux communs (sauf serrures et verrous de sûreté à clef et sauf charnières)")</f>
        <v xml:space="preserve">   Garnitures, ferrures et simil., pour bâtiments, en métaux communs (sauf serrures et verrous de sûreté à clef et sauf charnières)</v>
      </c>
      <c r="C5191">
        <v>69652748</v>
      </c>
      <c r="D5191">
        <v>18461.8</v>
      </c>
    </row>
    <row r="5192" spans="1:4" x14ac:dyDescent="0.25">
      <c r="A5192" t="str">
        <f>T("   830242")</f>
        <v xml:space="preserve">   830242</v>
      </c>
      <c r="B5192" t="str">
        <f>T("   GARNITURES, FERRURES ET SIMIL., POUR MEUBLES, EN MÉTAUX COMMUNS (SAUF SERRURES ET VERROUS DE S¹RETÉ À CLEF ET SAUF CHARNIÈRES ET ROULETTES)")</f>
        <v xml:space="preserve">   GARNITURES, FERRURES ET SIMIL., POUR MEUBLES, EN MÉTAUX COMMUNS (SAUF SERRURES ET VERROUS DE S¹RETÉ À CLEF ET SAUF CHARNIÈRES ET ROULETTES)</v>
      </c>
      <c r="C5192">
        <v>3527791</v>
      </c>
      <c r="D5192">
        <v>544</v>
      </c>
    </row>
    <row r="5193" spans="1:4" x14ac:dyDescent="0.25">
      <c r="A5193" t="str">
        <f>T("   830249")</f>
        <v xml:space="preserve">   830249</v>
      </c>
      <c r="B5193" t="s">
        <v>381</v>
      </c>
      <c r="C5193">
        <v>26576875</v>
      </c>
      <c r="D5193">
        <v>2808</v>
      </c>
    </row>
    <row r="5194" spans="1:4" x14ac:dyDescent="0.25">
      <c r="A5194" t="str">
        <f>T("   830250")</f>
        <v xml:space="preserve">   830250</v>
      </c>
      <c r="B5194" t="str">
        <f>T("   Patères, porte-chapeaux, supports et articles simil. en métaux communs")</f>
        <v xml:space="preserve">   Patères, porte-chapeaux, supports et articles simil. en métaux communs</v>
      </c>
      <c r="C5194">
        <v>852172</v>
      </c>
      <c r="D5194">
        <v>59</v>
      </c>
    </row>
    <row r="5195" spans="1:4" x14ac:dyDescent="0.25">
      <c r="A5195" t="str">
        <f>T("   830300")</f>
        <v xml:space="preserve">   830300</v>
      </c>
      <c r="B5195" t="str">
        <f>T("   Coffres-forts, portes blindées et compartiments pour chambres fortes, coffres et cassettes de sûreté et articles simil., en métaux communs")</f>
        <v xml:space="preserve">   Coffres-forts, portes blindées et compartiments pour chambres fortes, coffres et cassettes de sûreté et articles simil., en métaux communs</v>
      </c>
      <c r="C5195">
        <v>33453079</v>
      </c>
      <c r="D5195">
        <v>34626</v>
      </c>
    </row>
    <row r="5196" spans="1:4" x14ac:dyDescent="0.25">
      <c r="A5196" t="str">
        <f>T("   830510")</f>
        <v xml:space="preserve">   830510</v>
      </c>
      <c r="B5196" t="str">
        <f>T("   Mécanismes pour reliure de feuillets mobiles ou pour classeurs, en métaux communs (sauf fermoirs pour livres et registres)")</f>
        <v xml:space="preserve">   Mécanismes pour reliure de feuillets mobiles ou pour classeurs, en métaux communs (sauf fermoirs pour livres et registres)</v>
      </c>
      <c r="C5196">
        <v>1762237</v>
      </c>
      <c r="D5196">
        <v>3526</v>
      </c>
    </row>
    <row r="5197" spans="1:4" x14ac:dyDescent="0.25">
      <c r="A5197" t="str">
        <f>T("   830520")</f>
        <v xml:space="preserve">   830520</v>
      </c>
      <c r="B5197" t="str">
        <f>T("   Agrafes présentées en barrettes, en métaux communs")</f>
        <v xml:space="preserve">   Agrafes présentées en barrettes, en métaux communs</v>
      </c>
      <c r="C5197">
        <v>6002721</v>
      </c>
      <c r="D5197">
        <v>1635</v>
      </c>
    </row>
    <row r="5198" spans="1:4" x14ac:dyDescent="0.25">
      <c r="A5198" t="str">
        <f>T("   830590")</f>
        <v xml:space="preserve">   830590</v>
      </c>
      <c r="B5198" t="s">
        <v>382</v>
      </c>
      <c r="C5198">
        <v>1582551</v>
      </c>
      <c r="D5198">
        <v>1827</v>
      </c>
    </row>
    <row r="5199" spans="1:4" x14ac:dyDescent="0.25">
      <c r="A5199" t="str">
        <f>T("   830630")</f>
        <v xml:space="preserve">   830630</v>
      </c>
      <c r="B5199" t="str">
        <f>T("   Cadres pour photographies, gravures ou simil., en métaux communs; miroirs, en métaux communs (sauf éléments optiques)")</f>
        <v xml:space="preserve">   Cadres pour photographies, gravures ou simil., en métaux communs; miroirs, en métaux communs (sauf éléments optiques)</v>
      </c>
      <c r="C5199">
        <v>1140059</v>
      </c>
      <c r="D5199">
        <v>220</v>
      </c>
    </row>
    <row r="5200" spans="1:4" x14ac:dyDescent="0.25">
      <c r="A5200" t="str">
        <f>T("   830710")</f>
        <v xml:space="preserve">   830710</v>
      </c>
      <c r="B5200" t="str">
        <f>T("   Tuyaux flexibles en fer ou en acier, même avec accessoires")</f>
        <v xml:space="preserve">   Tuyaux flexibles en fer ou en acier, même avec accessoires</v>
      </c>
      <c r="C5200">
        <v>8394319</v>
      </c>
      <c r="D5200">
        <v>303</v>
      </c>
    </row>
    <row r="5201" spans="1:4" x14ac:dyDescent="0.25">
      <c r="A5201" t="str">
        <f>T("   830790")</f>
        <v xml:space="preserve">   830790</v>
      </c>
      <c r="B5201" t="str">
        <f>T("   Tuyaux flexibles en métaux communs autres que le fer ou l'acier, même avec accessoires")</f>
        <v xml:space="preserve">   Tuyaux flexibles en métaux communs autres que le fer ou l'acier, même avec accessoires</v>
      </c>
      <c r="C5201">
        <v>14636316</v>
      </c>
      <c r="D5201">
        <v>1624</v>
      </c>
    </row>
    <row r="5202" spans="1:4" x14ac:dyDescent="0.25">
      <c r="A5202" t="str">
        <f>T("   830810")</f>
        <v xml:space="preserve">   830810</v>
      </c>
      <c r="B5202" t="str">
        <f>T("   Agrafes, crochets et oeillets, en métaux communs, pour vêtements, chaussures, bâches, maroquinerie, ou pour toutes confections ou équipements")</f>
        <v xml:space="preserve">   Agrafes, crochets et oeillets, en métaux communs, pour vêtements, chaussures, bâches, maroquinerie, ou pour toutes confections ou équipements</v>
      </c>
      <c r="C5202">
        <v>420471</v>
      </c>
      <c r="D5202">
        <v>82</v>
      </c>
    </row>
    <row r="5203" spans="1:4" x14ac:dyDescent="0.25">
      <c r="A5203" t="str">
        <f>T("   830910")</f>
        <v xml:space="preserve">   830910</v>
      </c>
      <c r="B5203" t="str">
        <f>T("   Bouchons-couronnes en métaux communs")</f>
        <v xml:space="preserve">   Bouchons-couronnes en métaux communs</v>
      </c>
      <c r="C5203">
        <v>535303998</v>
      </c>
      <c r="D5203">
        <v>209452</v>
      </c>
    </row>
    <row r="5204" spans="1:4" x14ac:dyDescent="0.25">
      <c r="A5204" t="str">
        <f>T("   830990")</f>
        <v xml:space="preserve">   830990</v>
      </c>
      <c r="B5204" t="str">
        <f>T("   Bouchons [y.c. les bouchons à pas de vis et les bouchons-verseurs], couvercles, capsules pour bouteilles, bondes filetées, plaques de bondes, scellés et autres accessoires d'emballage, en métaux communs (à l'excl. des bouchons-couronnes)")</f>
        <v xml:space="preserve">   Bouchons [y.c. les bouchons à pas de vis et les bouchons-verseurs], couvercles, capsules pour bouteilles, bondes filetées, plaques de bondes, scellés et autres accessoires d'emballage, en métaux communs (à l'excl. des bouchons-couronnes)</v>
      </c>
      <c r="C5204">
        <v>3270413</v>
      </c>
      <c r="D5204">
        <v>4138</v>
      </c>
    </row>
    <row r="5205" spans="1:4" x14ac:dyDescent="0.25">
      <c r="A5205" t="str">
        <f>T("   831000")</f>
        <v xml:space="preserve">   831000</v>
      </c>
      <c r="B5205" t="s">
        <v>383</v>
      </c>
      <c r="C5205">
        <v>76113492</v>
      </c>
      <c r="D5205">
        <v>11410</v>
      </c>
    </row>
    <row r="5206" spans="1:4" x14ac:dyDescent="0.25">
      <c r="A5206" t="str">
        <f>T("   831110")</f>
        <v xml:space="preserve">   831110</v>
      </c>
      <c r="B5206" t="str">
        <f>T("   ÉLECTRODES ENROBÉES EN MÉTAUX COMMUNS, POUR LE SOUDAGE À L'ARC")</f>
        <v xml:space="preserve">   ÉLECTRODES ENROBÉES EN MÉTAUX COMMUNS, POUR LE SOUDAGE À L'ARC</v>
      </c>
      <c r="C5206">
        <v>14516514</v>
      </c>
      <c r="D5206">
        <v>4955</v>
      </c>
    </row>
    <row r="5207" spans="1:4" x14ac:dyDescent="0.25">
      <c r="A5207" t="str">
        <f>T("   831130")</f>
        <v xml:space="preserve">   831130</v>
      </c>
      <c r="B5207" t="s">
        <v>384</v>
      </c>
      <c r="C5207">
        <v>527851</v>
      </c>
      <c r="D5207">
        <v>260</v>
      </c>
    </row>
    <row r="5208" spans="1:4" x14ac:dyDescent="0.25">
      <c r="A5208" t="str">
        <f>T("   831190")</f>
        <v xml:space="preserve">   831190</v>
      </c>
      <c r="B5208" t="s">
        <v>385</v>
      </c>
      <c r="C5208">
        <v>3287108</v>
      </c>
      <c r="D5208">
        <v>332</v>
      </c>
    </row>
    <row r="5209" spans="1:4" x14ac:dyDescent="0.25">
      <c r="A5209" t="str">
        <f>T("   840211")</f>
        <v xml:space="preserve">   840211</v>
      </c>
      <c r="B5209" t="str">
        <f>T("   Chaudières aquatubulaires à production horaire de vapeur &gt; 45 t")</f>
        <v xml:space="preserve">   Chaudières aquatubulaires à production horaire de vapeur &gt; 45 t</v>
      </c>
      <c r="C5209">
        <v>2806196</v>
      </c>
      <c r="D5209">
        <v>210</v>
      </c>
    </row>
    <row r="5210" spans="1:4" x14ac:dyDescent="0.25">
      <c r="A5210" t="str">
        <f>T("   840290")</f>
        <v xml:space="preserve">   840290</v>
      </c>
      <c r="B5210" t="str">
        <f>T("   Parties de chaudières à vapeur et de chaudières dites -à eau surchauffée-, n.d.a.")</f>
        <v xml:space="preserve">   Parties de chaudières à vapeur et de chaudières dites -à eau surchauffée-, n.d.a.</v>
      </c>
      <c r="C5210">
        <v>19372467</v>
      </c>
      <c r="D5210">
        <v>187</v>
      </c>
    </row>
    <row r="5211" spans="1:4" x14ac:dyDescent="0.25">
      <c r="A5211" t="str">
        <f>T("   840420")</f>
        <v xml:space="preserve">   840420</v>
      </c>
      <c r="B5211" t="str">
        <f>T("   Condenseurs pour machines à vapeur")</f>
        <v xml:space="preserve">   Condenseurs pour machines à vapeur</v>
      </c>
      <c r="C5211">
        <v>2152600</v>
      </c>
      <c r="D5211">
        <v>1908</v>
      </c>
    </row>
    <row r="5212" spans="1:4" x14ac:dyDescent="0.25">
      <c r="A5212" t="str">
        <f>T("   840721")</f>
        <v xml:space="preserve">   840721</v>
      </c>
      <c r="B5212" t="s">
        <v>387</v>
      </c>
      <c r="C5212">
        <v>4106966</v>
      </c>
      <c r="D5212">
        <v>220</v>
      </c>
    </row>
    <row r="5213" spans="1:4" x14ac:dyDescent="0.25">
      <c r="A5213" t="str">
        <f>T("   840729")</f>
        <v xml:space="preserve">   840729</v>
      </c>
      <c r="B5213" t="s">
        <v>388</v>
      </c>
      <c r="C5213">
        <v>131192</v>
      </c>
      <c r="D5213">
        <v>100</v>
      </c>
    </row>
    <row r="5214" spans="1:4" x14ac:dyDescent="0.25">
      <c r="A5214" t="str">
        <f>T("   840732")</f>
        <v xml:space="preserve">   840732</v>
      </c>
      <c r="B5214" t="s">
        <v>389</v>
      </c>
      <c r="C5214">
        <v>125000</v>
      </c>
      <c r="D5214">
        <v>120</v>
      </c>
    </row>
    <row r="5215" spans="1:4" x14ac:dyDescent="0.25">
      <c r="A5215" t="str">
        <f>T("   840734")</f>
        <v xml:space="preserve">   840734</v>
      </c>
      <c r="B5215" t="s">
        <v>390</v>
      </c>
      <c r="C5215">
        <v>19200000</v>
      </c>
      <c r="D5215">
        <v>32850</v>
      </c>
    </row>
    <row r="5216" spans="1:4" x14ac:dyDescent="0.25">
      <c r="A5216" t="str">
        <f>T("   840790")</f>
        <v xml:space="preserve">   840790</v>
      </c>
      <c r="B5216" t="s">
        <v>391</v>
      </c>
      <c r="C5216">
        <v>13978054</v>
      </c>
      <c r="D5216">
        <v>46584</v>
      </c>
    </row>
    <row r="5217" spans="1:4" x14ac:dyDescent="0.25">
      <c r="A5217" t="str">
        <f>T("   840820")</f>
        <v xml:space="preserve">   840820</v>
      </c>
      <c r="B5217" t="s">
        <v>392</v>
      </c>
      <c r="C5217">
        <v>48143666</v>
      </c>
      <c r="D5217">
        <v>198195</v>
      </c>
    </row>
    <row r="5218" spans="1:4" x14ac:dyDescent="0.25">
      <c r="A5218" t="str">
        <f>T("   840890")</f>
        <v xml:space="preserve">   840890</v>
      </c>
      <c r="B5218" t="s">
        <v>393</v>
      </c>
      <c r="C5218">
        <v>23357962</v>
      </c>
      <c r="D5218">
        <v>11328</v>
      </c>
    </row>
    <row r="5219" spans="1:4" x14ac:dyDescent="0.25">
      <c r="A5219" t="str">
        <f>T("   840991")</f>
        <v xml:space="preserve">   840991</v>
      </c>
      <c r="B5219" t="str">
        <f>T("   Parties reconnaissables comme étant exclusivement ou principalement destinées aux moteurs à piston à allumage par étincelles, n.d.a.")</f>
        <v xml:space="preserve">   Parties reconnaissables comme étant exclusivement ou principalement destinées aux moteurs à piston à allumage par étincelles, n.d.a.</v>
      </c>
      <c r="C5219">
        <v>6899390</v>
      </c>
      <c r="D5219">
        <v>283</v>
      </c>
    </row>
    <row r="5220" spans="1:4" x14ac:dyDescent="0.25">
      <c r="A5220" t="str">
        <f>T("   840999")</f>
        <v xml:space="preserve">   840999</v>
      </c>
      <c r="B5220"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5220">
        <v>139147740</v>
      </c>
      <c r="D5220">
        <v>11364.5</v>
      </c>
    </row>
    <row r="5221" spans="1:4" x14ac:dyDescent="0.25">
      <c r="A5221" t="str">
        <f>T("   841229")</f>
        <v xml:space="preserve">   841229</v>
      </c>
      <c r="B5221" t="str">
        <f>T("   Moteurs hydrauliques (autres que turbines hydrauliques ou roues hydrauliques du n° 8410, turbines à vapeur et moteurs hydrauliques, à mouvement rectiligne -cylindres-)")</f>
        <v xml:space="preserve">   Moteurs hydrauliques (autres que turbines hydrauliques ou roues hydrauliques du n° 8410, turbines à vapeur et moteurs hydrauliques, à mouvement rectiligne -cylindres-)</v>
      </c>
      <c r="C5221">
        <v>5383142</v>
      </c>
      <c r="D5221">
        <v>185.75</v>
      </c>
    </row>
    <row r="5222" spans="1:4" x14ac:dyDescent="0.25">
      <c r="A5222" t="str">
        <f>T("   841280")</f>
        <v xml:space="preserve">   841280</v>
      </c>
      <c r="B5222" t="str">
        <f>T("   Moteurs et machines motrices (à l'excl. des turbines à vapeur, moteurs à piston, turbines hydrauliques, roues hydrauliques, turbines à gaz, moteurs à réaction, moteurs hydrauliques et oléohydrauliques, moteurs pneumatiques et sauf moteurs électriques)")</f>
        <v xml:space="preserve">   Moteurs et machines motrices (à l'excl. des turbines à vapeur, moteurs à piston, turbines hydrauliques, roues hydrauliques, turbines à gaz, moteurs à réaction, moteurs hydrauliques et oléohydrauliques, moteurs pneumatiques et sauf moteurs électriques)</v>
      </c>
      <c r="C5222">
        <v>3279800</v>
      </c>
      <c r="D5222">
        <v>10980</v>
      </c>
    </row>
    <row r="5223" spans="1:4" x14ac:dyDescent="0.25">
      <c r="A5223" t="str">
        <f>T("   841290")</f>
        <v xml:space="preserve">   841290</v>
      </c>
      <c r="B5223" t="str">
        <f>T("   PARTIES DE MOTEURS ET MACHINES MOTRICES NON-ÉLECTRIQUES, N.D.A.")</f>
        <v xml:space="preserve">   PARTIES DE MOTEURS ET MACHINES MOTRICES NON-ÉLECTRIQUES, N.D.A.</v>
      </c>
      <c r="C5223">
        <v>1716024</v>
      </c>
      <c r="D5223">
        <v>1195</v>
      </c>
    </row>
    <row r="5224" spans="1:4" x14ac:dyDescent="0.25">
      <c r="A5224" t="str">
        <f>T("   841311")</f>
        <v xml:space="preserve">   841311</v>
      </c>
      <c r="B5224" t="str">
        <f>T("   Pompes pour distribution, comportant un dispositif mesureur de liquide ou conçues pour en comporter pour carburants ou lubrifiants, des types utilisés dans les stations-service ou les garages")</f>
        <v xml:space="preserve">   Pompes pour distribution, comportant un dispositif mesureur de liquide ou conçues pour en comporter pour carburants ou lubrifiants, des types utilisés dans les stations-service ou les garages</v>
      </c>
      <c r="C5224">
        <v>82566840</v>
      </c>
      <c r="D5224">
        <v>2325.34</v>
      </c>
    </row>
    <row r="5225" spans="1:4" x14ac:dyDescent="0.25">
      <c r="A5225" t="str">
        <f>T("   841319")</f>
        <v xml:space="preserve">   841319</v>
      </c>
      <c r="B5225" t="str">
        <f>T("   Pompes pour liquides, avec dispositif mesureur ou conçues pour en comporter (sauf pompes pour la distribution de carburants ou lubrifiants, des types utilisés dans les stations-service ou les garages)")</f>
        <v xml:space="preserve">   Pompes pour liquides, avec dispositif mesureur ou conçues pour en comporter (sauf pompes pour la distribution de carburants ou lubrifiants, des types utilisés dans les stations-service ou les garages)</v>
      </c>
      <c r="C5225">
        <v>14515180</v>
      </c>
      <c r="D5225">
        <v>575</v>
      </c>
    </row>
    <row r="5226" spans="1:4" x14ac:dyDescent="0.25">
      <c r="A5226" t="str">
        <f>T("   841320")</f>
        <v xml:space="preserve">   841320</v>
      </c>
      <c r="B5226" t="str">
        <f>T("   Pompes à bras pour liquides (sauf les pompes avec dispositif mesureur ou conçues pour en comporter du n° 8413.11 ou 8413.19)")</f>
        <v xml:space="preserve">   Pompes à bras pour liquides (sauf les pompes avec dispositif mesureur ou conçues pour en comporter du n° 8413.11 ou 8413.19)</v>
      </c>
      <c r="C5226">
        <v>57970701</v>
      </c>
      <c r="D5226">
        <v>2989</v>
      </c>
    </row>
    <row r="5227" spans="1:4" x14ac:dyDescent="0.25">
      <c r="A5227" t="str">
        <f>T("   841330")</f>
        <v xml:space="preserve">   841330</v>
      </c>
      <c r="B5227" t="str">
        <f>T("   Pompes à carburant, à huile ou à liquide de refroidissement pour moteurs à allumage par étincelles ou par compression")</f>
        <v xml:space="preserve">   Pompes à carburant, à huile ou à liquide de refroidissement pour moteurs à allumage par étincelles ou par compression</v>
      </c>
      <c r="C5227">
        <v>16293735</v>
      </c>
      <c r="D5227">
        <v>856</v>
      </c>
    </row>
    <row r="5228" spans="1:4" x14ac:dyDescent="0.25">
      <c r="A5228" t="str">
        <f>T("   841340")</f>
        <v xml:space="preserve">   841340</v>
      </c>
      <c r="B5228" t="str">
        <f>T("   Pompes à béton")</f>
        <v xml:space="preserve">   Pompes à béton</v>
      </c>
      <c r="C5228">
        <v>191326477</v>
      </c>
      <c r="D5228">
        <v>12362</v>
      </c>
    </row>
    <row r="5229" spans="1:4" x14ac:dyDescent="0.25">
      <c r="A5229" t="str">
        <f>T("   841350")</f>
        <v xml:space="preserve">   841350</v>
      </c>
      <c r="B5229" t="s">
        <v>394</v>
      </c>
      <c r="C5229">
        <v>29968843</v>
      </c>
      <c r="D5229">
        <v>481</v>
      </c>
    </row>
    <row r="5230" spans="1:4" x14ac:dyDescent="0.25">
      <c r="A5230" t="str">
        <f>T("   841360")</f>
        <v xml:space="preserve">   841360</v>
      </c>
      <c r="B5230" t="s">
        <v>395</v>
      </c>
      <c r="C5230">
        <v>4278171</v>
      </c>
      <c r="D5230">
        <v>159</v>
      </c>
    </row>
    <row r="5231" spans="1:4" x14ac:dyDescent="0.25">
      <c r="A5231" t="str">
        <f>T("   841370")</f>
        <v xml:space="preserve">   841370</v>
      </c>
      <c r="B5231" t="s">
        <v>396</v>
      </c>
      <c r="C5231">
        <v>26381005</v>
      </c>
      <c r="D5231">
        <v>2404</v>
      </c>
    </row>
    <row r="5232" spans="1:4" x14ac:dyDescent="0.25">
      <c r="A5232" t="str">
        <f>T("   841381")</f>
        <v xml:space="preserve">   841381</v>
      </c>
      <c r="B5232" t="s">
        <v>397</v>
      </c>
      <c r="C5232">
        <v>663081807</v>
      </c>
      <c r="D5232">
        <v>87706</v>
      </c>
    </row>
    <row r="5233" spans="1:4" x14ac:dyDescent="0.25">
      <c r="A5233" t="str">
        <f>T("   841382")</f>
        <v xml:space="preserve">   841382</v>
      </c>
      <c r="B5233" t="str">
        <f>T("   Elévateurs à liquides (à l'excl. des pompes)")</f>
        <v xml:space="preserve">   Elévateurs à liquides (à l'excl. des pompes)</v>
      </c>
      <c r="C5233">
        <v>18388760</v>
      </c>
      <c r="D5233">
        <v>670</v>
      </c>
    </row>
    <row r="5234" spans="1:4" x14ac:dyDescent="0.25">
      <c r="A5234" t="str">
        <f>T("   841391")</f>
        <v xml:space="preserve">   841391</v>
      </c>
      <c r="B5234" t="str">
        <f>T("   Parties de pompes pour liquides, n.d.a.")</f>
        <v xml:space="preserve">   Parties de pompes pour liquides, n.d.a.</v>
      </c>
      <c r="C5234">
        <v>93800055</v>
      </c>
      <c r="D5234">
        <v>4805</v>
      </c>
    </row>
    <row r="5235" spans="1:4" x14ac:dyDescent="0.25">
      <c r="A5235" t="str">
        <f>T("   841410")</f>
        <v xml:space="preserve">   841410</v>
      </c>
      <c r="B5235" t="str">
        <f>T("   Pompes à vide")</f>
        <v xml:space="preserve">   Pompes à vide</v>
      </c>
      <c r="C5235">
        <v>7828882</v>
      </c>
      <c r="D5235">
        <v>767</v>
      </c>
    </row>
    <row r="5236" spans="1:4" x14ac:dyDescent="0.25">
      <c r="A5236" t="str">
        <f>T("   841420")</f>
        <v xml:space="preserve">   841420</v>
      </c>
      <c r="B5236" t="str">
        <f>T("   Pompes à air, à main ou à pied")</f>
        <v xml:space="preserve">   Pompes à air, à main ou à pied</v>
      </c>
      <c r="C5236">
        <v>1767156</v>
      </c>
      <c r="D5236">
        <v>185</v>
      </c>
    </row>
    <row r="5237" spans="1:4" x14ac:dyDescent="0.25">
      <c r="A5237" t="str">
        <f>T("   841430")</f>
        <v xml:space="preserve">   841430</v>
      </c>
      <c r="B5237" t="str">
        <f>T("   Compresseurs des types utilisés pour équipements frigorifiques")</f>
        <v xml:space="preserve">   Compresseurs des types utilisés pour équipements frigorifiques</v>
      </c>
      <c r="C5237">
        <v>8403149</v>
      </c>
      <c r="D5237">
        <v>3078</v>
      </c>
    </row>
    <row r="5238" spans="1:4" x14ac:dyDescent="0.25">
      <c r="A5238" t="str">
        <f>T("   841440")</f>
        <v xml:space="preserve">   841440</v>
      </c>
      <c r="B5238" t="str">
        <f>T("   Compresseurs d'air montés sur châssis à roues et remorquables")</f>
        <v xml:space="preserve">   Compresseurs d'air montés sur châssis à roues et remorquables</v>
      </c>
      <c r="C5238">
        <v>6057114</v>
      </c>
      <c r="D5238">
        <v>915</v>
      </c>
    </row>
    <row r="5239" spans="1:4" x14ac:dyDescent="0.25">
      <c r="A5239" t="str">
        <f>T("   841451")</f>
        <v xml:space="preserve">   841451</v>
      </c>
      <c r="B5239" t="str">
        <f>T("   Ventilateurs de table, de sol, muraux, plafonniers, de toitures ou de fenêtres, à moteur électrique incorporé, d'une puissance &lt;= 125 W")</f>
        <v xml:space="preserve">   Ventilateurs de table, de sol, muraux, plafonniers, de toitures ou de fenêtres, à moteur électrique incorporé, d'une puissance &lt;= 125 W</v>
      </c>
      <c r="C5239">
        <v>7815568</v>
      </c>
      <c r="D5239">
        <v>3618</v>
      </c>
    </row>
    <row r="5240" spans="1:4" x14ac:dyDescent="0.25">
      <c r="A5240" t="str">
        <f>T("   841459")</f>
        <v xml:space="preserve">   841459</v>
      </c>
      <c r="B5240" t="str">
        <f>T("   Ventilateurs (sauf ventilateurs de table, de sol, muraux, plafonniers, de toitures ou de fenêtres, à moteur électrique incorporé, d'une puissance &lt;= 125 W)")</f>
        <v xml:space="preserve">   Ventilateurs (sauf ventilateurs de table, de sol, muraux, plafonniers, de toitures ou de fenêtres, à moteur électrique incorporé, d'une puissance &lt;= 125 W)</v>
      </c>
      <c r="C5240">
        <v>20999534</v>
      </c>
      <c r="D5240">
        <v>1803</v>
      </c>
    </row>
    <row r="5241" spans="1:4" x14ac:dyDescent="0.25">
      <c r="A5241" t="str">
        <f>T("   841480")</f>
        <v xml:space="preserve">   841480</v>
      </c>
      <c r="B5241" t="s">
        <v>398</v>
      </c>
      <c r="C5241">
        <v>133353221</v>
      </c>
      <c r="D5241">
        <v>9724</v>
      </c>
    </row>
    <row r="5242" spans="1:4" x14ac:dyDescent="0.25">
      <c r="A5242" t="str">
        <f>T("   841490")</f>
        <v xml:space="preserve">   841490</v>
      </c>
      <c r="B5242" t="str">
        <f>T("   Parties de pompes à air ou à vide, de compresseurs d'air ou d'autres gaz et de ventilateurs, de hottes aspirantes à extraction ou à recyclage, à ventilateur incorporé, n.d.a.")</f>
        <v xml:space="preserve">   Parties de pompes à air ou à vide, de compresseurs d'air ou d'autres gaz et de ventilateurs, de hottes aspirantes à extraction ou à recyclage, à ventilateur incorporé, n.d.a.</v>
      </c>
      <c r="C5242">
        <v>36792582</v>
      </c>
      <c r="D5242">
        <v>3763.4</v>
      </c>
    </row>
    <row r="5243" spans="1:4" x14ac:dyDescent="0.25">
      <c r="A5243" t="str">
        <f>T("   841510")</f>
        <v xml:space="preserve">   841510</v>
      </c>
      <c r="B5243" t="s">
        <v>399</v>
      </c>
      <c r="C5243">
        <v>86747904</v>
      </c>
      <c r="D5243">
        <v>45712</v>
      </c>
    </row>
    <row r="5244" spans="1:4" x14ac:dyDescent="0.25">
      <c r="A5244" t="str">
        <f>T("   841520")</f>
        <v xml:space="preserve">   841520</v>
      </c>
      <c r="B5244" t="str">
        <f>T("   Machines et appareils pour le conditionnement de l'air du type de ceux utilisés pour le confort des personnes dans les véhicules automobiles")</f>
        <v xml:space="preserve">   Machines et appareils pour le conditionnement de l'air du type de ceux utilisés pour le confort des personnes dans les véhicules automobiles</v>
      </c>
      <c r="C5244">
        <v>454580</v>
      </c>
      <c r="D5244">
        <v>16</v>
      </c>
    </row>
    <row r="5245" spans="1:4" x14ac:dyDescent="0.25">
      <c r="A5245" t="str">
        <f>T("   841581")</f>
        <v xml:space="preserve">   841581</v>
      </c>
      <c r="B5245" t="s">
        <v>400</v>
      </c>
      <c r="C5245">
        <v>12557698</v>
      </c>
      <c r="D5245">
        <v>1153</v>
      </c>
    </row>
    <row r="5246" spans="1:4" x14ac:dyDescent="0.25">
      <c r="A5246" t="str">
        <f>T("   841582")</f>
        <v xml:space="preserve">   841582</v>
      </c>
      <c r="B5246" t="s">
        <v>401</v>
      </c>
      <c r="C5246">
        <v>68249595</v>
      </c>
      <c r="D5246">
        <v>19411</v>
      </c>
    </row>
    <row r="5247" spans="1:4" x14ac:dyDescent="0.25">
      <c r="A5247" t="str">
        <f>T("   841590")</f>
        <v xml:space="preserve">   841590</v>
      </c>
      <c r="B5247" t="str">
        <f>T("   Parties de machines et appareils pour le conditionnement de l'air comprenant un ventilateur à moteur et des dispositifs propres à modifier la température et l'humidité de l'air, n.d.a.")</f>
        <v xml:space="preserve">   Parties de machines et appareils pour le conditionnement de l'air comprenant un ventilateur à moteur et des dispositifs propres à modifier la température et l'humidité de l'air, n.d.a.</v>
      </c>
      <c r="C5247">
        <v>42460163</v>
      </c>
      <c r="D5247">
        <v>4249</v>
      </c>
    </row>
    <row r="5248" spans="1:4" x14ac:dyDescent="0.25">
      <c r="A5248" t="str">
        <f>T("   841690")</f>
        <v xml:space="preserve">   841690</v>
      </c>
      <c r="B5248" t="str">
        <f>T("   PARTIES DE BR¹LEURS POUR L'ALIMENTATION DES FOYERS ET DES FOYERS AUTOMATIQUES, DE LEURS AVANT-FOYERS, GRILLES MÉCANIQUES, DISPOSITIFS MÉCANIQUES POUR L'ÉVACUATION DES CENDRES ET DISPOSITIFS SIMIL., N.D.A.")</f>
        <v xml:space="preserve">   PARTIES DE BR¹LEURS POUR L'ALIMENTATION DES FOYERS ET DES FOYERS AUTOMATIQUES, DE LEURS AVANT-FOYERS, GRILLES MÉCANIQUES, DISPOSITIFS MÉCANIQUES POUR L'ÉVACUATION DES CENDRES ET DISPOSITIFS SIMIL., N.D.A.</v>
      </c>
      <c r="C5248">
        <v>14669150</v>
      </c>
      <c r="D5248">
        <v>409</v>
      </c>
    </row>
    <row r="5249" spans="1:4" x14ac:dyDescent="0.25">
      <c r="A5249" t="str">
        <f>T("   841720")</f>
        <v xml:space="preserve">   841720</v>
      </c>
      <c r="B5249" t="str">
        <f>T("   Fours non-électriques, de boulangerie, de pâtisserie ou de biscuiterie")</f>
        <v xml:space="preserve">   Fours non-électriques, de boulangerie, de pâtisserie ou de biscuiterie</v>
      </c>
      <c r="C5249">
        <v>7142613</v>
      </c>
      <c r="D5249">
        <v>3214</v>
      </c>
    </row>
    <row r="5250" spans="1:4" x14ac:dyDescent="0.25">
      <c r="A5250" t="str">
        <f>T("   841780")</f>
        <v xml:space="preserve">   841780</v>
      </c>
      <c r="B5250" t="s">
        <v>403</v>
      </c>
      <c r="C5250">
        <v>2879479</v>
      </c>
      <c r="D5250">
        <v>837</v>
      </c>
    </row>
    <row r="5251" spans="1:4" x14ac:dyDescent="0.25">
      <c r="A5251" t="str">
        <f>T("   841810")</f>
        <v xml:space="preserve">   841810</v>
      </c>
      <c r="B5251" t="str">
        <f>T("   Réfrigérateurs et congélateurs-conservateurs combinés, avec portes extérieures séparées")</f>
        <v xml:space="preserve">   Réfrigérateurs et congélateurs-conservateurs combinés, avec portes extérieures séparées</v>
      </c>
      <c r="C5251">
        <v>8119074</v>
      </c>
      <c r="D5251">
        <v>8136</v>
      </c>
    </row>
    <row r="5252" spans="1:4" x14ac:dyDescent="0.25">
      <c r="A5252" t="str">
        <f>T("   841821")</f>
        <v xml:space="preserve">   841821</v>
      </c>
      <c r="B5252" t="str">
        <f>T("   Réfrigérateurs ménagers à compression")</f>
        <v xml:space="preserve">   Réfrigérateurs ménagers à compression</v>
      </c>
      <c r="C5252">
        <v>133025000</v>
      </c>
      <c r="D5252">
        <v>204250</v>
      </c>
    </row>
    <row r="5253" spans="1:4" x14ac:dyDescent="0.25">
      <c r="A5253" t="str">
        <f>T("   841822")</f>
        <v xml:space="preserve">   841822</v>
      </c>
      <c r="B5253" t="str">
        <f>T("   Réfrigérateurs ménagers à absorption, électriques")</f>
        <v xml:space="preserve">   Réfrigérateurs ménagers à absorption, électriques</v>
      </c>
      <c r="C5253">
        <v>10679149</v>
      </c>
      <c r="D5253">
        <v>8183</v>
      </c>
    </row>
    <row r="5254" spans="1:4" x14ac:dyDescent="0.25">
      <c r="A5254" t="str">
        <f>T("   841829")</f>
        <v xml:space="preserve">   841829</v>
      </c>
      <c r="B5254" t="str">
        <f>T("   Réfrigérateurs ménagers à absorption, non-électriques")</f>
        <v xml:space="preserve">   Réfrigérateurs ménagers à absorption, non-électriques</v>
      </c>
      <c r="C5254">
        <v>47723871</v>
      </c>
      <c r="D5254">
        <v>86533</v>
      </c>
    </row>
    <row r="5255" spans="1:4" x14ac:dyDescent="0.25">
      <c r="A5255" t="str">
        <f>T("   841830")</f>
        <v xml:space="preserve">   841830</v>
      </c>
      <c r="B5255" t="str">
        <f>T("   Meubles congélateurs-conservateurs du type coffre, capacité &lt;= 800 l")</f>
        <v xml:space="preserve">   Meubles congélateurs-conservateurs du type coffre, capacité &lt;= 800 l</v>
      </c>
      <c r="C5255">
        <v>5767024</v>
      </c>
      <c r="D5255">
        <v>2366.13</v>
      </c>
    </row>
    <row r="5256" spans="1:4" x14ac:dyDescent="0.25">
      <c r="A5256" t="str">
        <f>T("   841840")</f>
        <v xml:space="preserve">   841840</v>
      </c>
      <c r="B5256" t="str">
        <f>T("   Meubles congélateurs-conservateurs du type armoire, capacité &lt;= 900 l")</f>
        <v xml:space="preserve">   Meubles congélateurs-conservateurs du type armoire, capacité &lt;= 900 l</v>
      </c>
      <c r="C5256">
        <v>3020473</v>
      </c>
      <c r="D5256">
        <v>1204</v>
      </c>
    </row>
    <row r="5257" spans="1:4" x14ac:dyDescent="0.25">
      <c r="A5257" t="str">
        <f>T("   841850")</f>
        <v xml:space="preserve">   841850</v>
      </c>
      <c r="B5257" t="s">
        <v>404</v>
      </c>
      <c r="C5257">
        <v>13584145</v>
      </c>
      <c r="D5257">
        <v>1697</v>
      </c>
    </row>
    <row r="5258" spans="1:4" x14ac:dyDescent="0.25">
      <c r="A5258" t="str">
        <f>T("   841861")</f>
        <v xml:space="preserve">   841861</v>
      </c>
      <c r="B5258" t="str">
        <f>T("   Groupes à compression pour la production du froid, dont le condenseur est constitué par un échangeur de chaleur")</f>
        <v xml:space="preserve">   Groupes à compression pour la production du froid, dont le condenseur est constitué par un échangeur de chaleur</v>
      </c>
      <c r="C5258">
        <v>53787375</v>
      </c>
      <c r="D5258">
        <v>6077</v>
      </c>
    </row>
    <row r="5259" spans="1:4" x14ac:dyDescent="0.25">
      <c r="A5259" t="str">
        <f>T("   841869")</f>
        <v xml:space="preserve">   841869</v>
      </c>
      <c r="B5259" t="str">
        <f>T("   Matériel, machines et appareils pour la production du froid ainsi que pompes à chaleur à absorption (autres que réfrigérateurs et meubles congélateurs-conservateurs)")</f>
        <v xml:space="preserve">   Matériel, machines et appareils pour la production du froid ainsi que pompes à chaleur à absorption (autres que réfrigérateurs et meubles congélateurs-conservateurs)</v>
      </c>
      <c r="C5259">
        <v>99533447</v>
      </c>
      <c r="D5259">
        <v>14416.57</v>
      </c>
    </row>
    <row r="5260" spans="1:4" x14ac:dyDescent="0.25">
      <c r="A5260" t="str">
        <f>T("   841891")</f>
        <v xml:space="preserve">   841891</v>
      </c>
      <c r="B5260" t="str">
        <f>T("   Meubles conçus pour recevoir un équipement pour la production du froid")</f>
        <v xml:space="preserve">   Meubles conçus pour recevoir un équipement pour la production du froid</v>
      </c>
      <c r="C5260">
        <v>31589720</v>
      </c>
      <c r="D5260">
        <v>4950</v>
      </c>
    </row>
    <row r="5261" spans="1:4" x14ac:dyDescent="0.25">
      <c r="A5261" t="str">
        <f>T("   841899")</f>
        <v xml:space="preserve">   841899</v>
      </c>
      <c r="B5261" t="str">
        <f>T("   Parties de réfrigérateurs et de congélateurs-conservateurs du type armoire et du type coffre et d'autres matériel, machines et appareils pour la production du froid, parties de pompes à chaleur, n.d.a.")</f>
        <v xml:space="preserve">   Parties de réfrigérateurs et de congélateurs-conservateurs du type armoire et du type coffre et d'autres matériel, machines et appareils pour la production du froid, parties de pompes à chaleur, n.d.a.</v>
      </c>
      <c r="C5261">
        <v>26206254</v>
      </c>
      <c r="D5261">
        <v>7110</v>
      </c>
    </row>
    <row r="5262" spans="1:4" x14ac:dyDescent="0.25">
      <c r="A5262" t="str">
        <f>T("   841920")</f>
        <v xml:space="preserve">   841920</v>
      </c>
      <c r="B5262" t="str">
        <f>T("   Stérilisateurs médico-chirurgicaux ou de laboratoire")</f>
        <v xml:space="preserve">   Stérilisateurs médico-chirurgicaux ou de laboratoire</v>
      </c>
      <c r="C5262">
        <v>21647894</v>
      </c>
      <c r="D5262">
        <v>1479</v>
      </c>
    </row>
    <row r="5263" spans="1:4" x14ac:dyDescent="0.25">
      <c r="A5263" t="str">
        <f>T("   841939")</f>
        <v xml:space="preserve">   841939</v>
      </c>
      <c r="B5263" t="str">
        <f>T("   Séchoirs (sauf pour produits agricoles, pâtes à papier, papier ou carton, pour fils, tissus ou autres matières textiles, pour bouteilles ou autres récipients, sèche-cheveux, sèche-mains et sauf appareils ménagers)")</f>
        <v xml:space="preserve">   Séchoirs (sauf pour produits agricoles, pâtes à papier, papier ou carton, pour fils, tissus ou autres matières textiles, pour bouteilles ou autres récipients, sèche-cheveux, sèche-mains et sauf appareils ménagers)</v>
      </c>
      <c r="C5263">
        <v>34766</v>
      </c>
      <c r="D5263">
        <v>1</v>
      </c>
    </row>
    <row r="5264" spans="1:4" x14ac:dyDescent="0.25">
      <c r="A5264" t="str">
        <f>T("   841950")</f>
        <v xml:space="preserve">   841950</v>
      </c>
      <c r="B5264" t="str">
        <f>T("   Echangeurs de chaleur (à l'excl. des chauffe-eau à chauffage instantané ou à accumulation, des chaudières de chauffage central et des appareils dans lesquels l'échange thermique ne s'effectue pas à travers une paroi)")</f>
        <v xml:space="preserve">   Echangeurs de chaleur (à l'excl. des chauffe-eau à chauffage instantané ou à accumulation, des chaudières de chauffage central et des appareils dans lesquels l'échange thermique ne s'effectue pas à travers une paroi)</v>
      </c>
      <c r="C5264">
        <v>18462237</v>
      </c>
      <c r="D5264">
        <v>1290</v>
      </c>
    </row>
    <row r="5265" spans="1:4" x14ac:dyDescent="0.25">
      <c r="A5265" t="str">
        <f>T("   841960")</f>
        <v xml:space="preserve">   841960</v>
      </c>
      <c r="B5265" t="str">
        <f>T("   Appareils et dispositifs pour la liquéfaction de l'air ou d'autres gaz")</f>
        <v xml:space="preserve">   Appareils et dispositifs pour la liquéfaction de l'air ou d'autres gaz</v>
      </c>
      <c r="C5265">
        <v>3481836</v>
      </c>
      <c r="D5265">
        <v>50</v>
      </c>
    </row>
    <row r="5266" spans="1:4" x14ac:dyDescent="0.25">
      <c r="A5266" t="str">
        <f>T("   841989")</f>
        <v xml:space="preserve">   841989</v>
      </c>
      <c r="B5266" t="s">
        <v>405</v>
      </c>
      <c r="C5266">
        <v>132167507</v>
      </c>
      <c r="D5266">
        <v>15021</v>
      </c>
    </row>
    <row r="5267" spans="1:4" x14ac:dyDescent="0.25">
      <c r="A5267" t="str">
        <f>T("   841990")</f>
        <v xml:space="preserve">   841990</v>
      </c>
      <c r="B5267" t="str">
        <f>T("   Parties d'appareils et dispositifs, même chauffés électriquement, pour le traitement de matières par des opérations impliquant un changement de température, ainsi que de chauffe-eau non-électriques à chauffage instantané ou à accumulation, n.d.a.")</f>
        <v xml:space="preserve">   Parties d'appareils et dispositifs, même chauffés électriquement, pour le traitement de matières par des opérations impliquant un changement de température, ainsi que de chauffe-eau non-électriques à chauffage instantané ou à accumulation, n.d.a.</v>
      </c>
      <c r="C5267">
        <v>3741793</v>
      </c>
      <c r="D5267">
        <v>177</v>
      </c>
    </row>
    <row r="5268" spans="1:4" x14ac:dyDescent="0.25">
      <c r="A5268" t="str">
        <f>T("   842091")</f>
        <v xml:space="preserve">   842091</v>
      </c>
      <c r="B5268" t="str">
        <f>T("   Cylindres de calandres et laminoirs (autres que pour les métaux ou le verre)")</f>
        <v xml:space="preserve">   Cylindres de calandres et laminoirs (autres que pour les métaux ou le verre)</v>
      </c>
      <c r="C5268">
        <v>652024</v>
      </c>
      <c r="D5268">
        <v>161</v>
      </c>
    </row>
    <row r="5269" spans="1:4" x14ac:dyDescent="0.25">
      <c r="A5269" t="str">
        <f>T("   842119")</f>
        <v xml:space="preserve">   842119</v>
      </c>
      <c r="B5269" t="str">
        <f>T("   Centrifugeuses, y.c. les essoreuses centrifuges (autres que pour la séparation isotopique et sauf écrémeuses et essoreuses à linge)")</f>
        <v xml:space="preserve">   Centrifugeuses, y.c. les essoreuses centrifuges (autres que pour la séparation isotopique et sauf écrémeuses et essoreuses à linge)</v>
      </c>
      <c r="C5269">
        <v>2305699</v>
      </c>
      <c r="D5269">
        <v>479</v>
      </c>
    </row>
    <row r="5270" spans="1:4" x14ac:dyDescent="0.25">
      <c r="A5270" t="str">
        <f>T("   842121")</f>
        <v xml:space="preserve">   842121</v>
      </c>
      <c r="B5270" t="str">
        <f>T("   Appareils pour la filtration ou l'épuration des eaux")</f>
        <v xml:space="preserve">   Appareils pour la filtration ou l'épuration des eaux</v>
      </c>
      <c r="C5270">
        <v>71212077</v>
      </c>
      <c r="D5270">
        <v>2395.5</v>
      </c>
    </row>
    <row r="5271" spans="1:4" x14ac:dyDescent="0.25">
      <c r="A5271" t="str">
        <f>T("   842123")</f>
        <v xml:space="preserve">   842123</v>
      </c>
      <c r="B5271" t="str">
        <f>T("   Appareils pour la filtration des huiles minérales et carburants pour les moteurs à allumage par étincelles ou par compression")</f>
        <v xml:space="preserve">   Appareils pour la filtration des huiles minérales et carburants pour les moteurs à allumage par étincelles ou par compression</v>
      </c>
      <c r="C5271">
        <v>157552021</v>
      </c>
      <c r="D5271">
        <v>20184</v>
      </c>
    </row>
    <row r="5272" spans="1:4" x14ac:dyDescent="0.25">
      <c r="A5272" t="str">
        <f>T("   842129")</f>
        <v xml:space="preserve">   842129</v>
      </c>
      <c r="B5272" t="str">
        <f>T("   Appareils pour la filtration ou l'épuration des liquides (à l'excl. de l'eau ou des boissons, des huiles minérales et carburants pour les moteurs à allumage par étincelles ou par compression ainsi que les reins artificiels)")</f>
        <v xml:space="preserve">   Appareils pour la filtration ou l'épuration des liquides (à l'excl. de l'eau ou des boissons, des huiles minérales et carburants pour les moteurs à allumage par étincelles ou par compression ainsi que les reins artificiels)</v>
      </c>
      <c r="C5272">
        <v>74923722</v>
      </c>
      <c r="D5272">
        <v>8380</v>
      </c>
    </row>
    <row r="5273" spans="1:4" x14ac:dyDescent="0.25">
      <c r="A5273" t="str">
        <f>T("   842131")</f>
        <v xml:space="preserve">   842131</v>
      </c>
      <c r="B5273" t="str">
        <f>T("   Filtres d'entrée d'air pour moteurs à allumage par étincelles ou par compression")</f>
        <v xml:space="preserve">   Filtres d'entrée d'air pour moteurs à allumage par étincelles ou par compression</v>
      </c>
      <c r="C5273">
        <v>84416678</v>
      </c>
      <c r="D5273">
        <v>13114</v>
      </c>
    </row>
    <row r="5274" spans="1:4" x14ac:dyDescent="0.25">
      <c r="A5274" t="str">
        <f>T("   842139")</f>
        <v xml:space="preserve">   842139</v>
      </c>
      <c r="B5274" t="str">
        <f>T("   Appareils pour la filtration ou l'épuration des gaz (autres que pour la séparation isotopique et sauf les filtres d'entrée d'air pour moteurs à allumage par étincelles ou par compression)")</f>
        <v xml:space="preserve">   Appareils pour la filtration ou l'épuration des gaz (autres que pour la séparation isotopique et sauf les filtres d'entrée d'air pour moteurs à allumage par étincelles ou par compression)</v>
      </c>
      <c r="C5274">
        <v>84840061</v>
      </c>
      <c r="D5274">
        <v>7637.5</v>
      </c>
    </row>
    <row r="5275" spans="1:4" x14ac:dyDescent="0.25">
      <c r="A5275" t="str">
        <f>T("   842191")</f>
        <v xml:space="preserve">   842191</v>
      </c>
      <c r="B5275" t="str">
        <f>T("   Parties de centrifugeuses, y.c. d'essoreuses centrifuges, n.d.a.")</f>
        <v xml:space="preserve">   Parties de centrifugeuses, y.c. d'essoreuses centrifuges, n.d.a.</v>
      </c>
      <c r="C5275">
        <v>2357962</v>
      </c>
      <c r="D5275">
        <v>262</v>
      </c>
    </row>
    <row r="5276" spans="1:4" x14ac:dyDescent="0.25">
      <c r="A5276" t="str">
        <f>T("   842199")</f>
        <v xml:space="preserve">   842199</v>
      </c>
      <c r="B5276" t="str">
        <f>T("   Parties d'appareils pour la filtration ou l'épuration des liquides ou des gaz, n.d.a.")</f>
        <v xml:space="preserve">   Parties d'appareils pour la filtration ou l'épuration des liquides ou des gaz, n.d.a.</v>
      </c>
      <c r="C5276">
        <v>171764931</v>
      </c>
      <c r="D5276">
        <v>9366</v>
      </c>
    </row>
    <row r="5277" spans="1:4" x14ac:dyDescent="0.25">
      <c r="A5277" t="str">
        <f>T("   842219")</f>
        <v xml:space="preserve">   842219</v>
      </c>
      <c r="B5277" t="str">
        <f>T("   Machines à laver la vaisselle (autres que de type ménager)")</f>
        <v xml:space="preserve">   Machines à laver la vaisselle (autres que de type ménager)</v>
      </c>
      <c r="C5277">
        <v>263040</v>
      </c>
      <c r="D5277">
        <v>550</v>
      </c>
    </row>
    <row r="5278" spans="1:4" x14ac:dyDescent="0.25">
      <c r="A5278" t="str">
        <f>T("   842230")</f>
        <v xml:space="preserve">   842230</v>
      </c>
      <c r="B5278" t="str">
        <f>T("   Machines et appareils à remplir, fermer, boucher ou étiqueter les bouteilles, boîtes, sacs ou autres contenants; machines et appareils à capsuler les bouteilles, pots, tubes et contenants analogues; appareils à gazéifier les boissons")</f>
        <v xml:space="preserve">   Machines et appareils à remplir, fermer, boucher ou étiqueter les bouteilles, boîtes, sacs ou autres contenants; machines et appareils à capsuler les bouteilles, pots, tubes et contenants analogues; appareils à gazéifier les boissons</v>
      </c>
      <c r="C5278">
        <v>180000</v>
      </c>
      <c r="D5278">
        <v>190</v>
      </c>
    </row>
    <row r="5279" spans="1:4" x14ac:dyDescent="0.25">
      <c r="A5279" t="str">
        <f>T("   842240")</f>
        <v xml:space="preserve">   842240</v>
      </c>
      <c r="B5279" t="s">
        <v>406</v>
      </c>
      <c r="C5279">
        <v>1656299</v>
      </c>
      <c r="D5279">
        <v>293</v>
      </c>
    </row>
    <row r="5280" spans="1:4" x14ac:dyDescent="0.25">
      <c r="A5280" t="str">
        <f>T("   842290")</f>
        <v xml:space="preserve">   842290</v>
      </c>
      <c r="B5280" t="str">
        <f>T("   Parties des machines à laver la vaisselle, des machines à empaqueter ou à emballer les marchandises et autres machines et appareils du n° 8422, n.d.a.")</f>
        <v xml:space="preserve">   Parties des machines à laver la vaisselle, des machines à empaqueter ou à emballer les marchandises et autres machines et appareils du n° 8422, n.d.a.</v>
      </c>
      <c r="C5280">
        <v>1197644020</v>
      </c>
      <c r="D5280">
        <v>32072</v>
      </c>
    </row>
    <row r="5281" spans="1:4" x14ac:dyDescent="0.25">
      <c r="A5281" t="str">
        <f>T("   842310")</f>
        <v xml:space="preserve">   842310</v>
      </c>
      <c r="B5281" t="str">
        <f>T("   Pèse-personnes, y.c. les pèse-bébés; balances de ménage")</f>
        <v xml:space="preserve">   Pèse-personnes, y.c. les pèse-bébés; balances de ménage</v>
      </c>
      <c r="C5281">
        <v>6606152</v>
      </c>
      <c r="D5281">
        <v>1006</v>
      </c>
    </row>
    <row r="5282" spans="1:4" x14ac:dyDescent="0.25">
      <c r="A5282" t="str">
        <f>T("   842320")</f>
        <v xml:space="preserve">   842320</v>
      </c>
      <c r="B5282" t="str">
        <f>T("   Bascules à pesage continu sur transporteurs")</f>
        <v xml:space="preserve">   Bascules à pesage continu sur transporteurs</v>
      </c>
      <c r="C5282">
        <v>23147735</v>
      </c>
      <c r="D5282">
        <v>11603</v>
      </c>
    </row>
    <row r="5283" spans="1:4" x14ac:dyDescent="0.25">
      <c r="A5283" t="str">
        <f>T("   842381")</f>
        <v xml:space="preserve">   842381</v>
      </c>
      <c r="B5283" t="s">
        <v>407</v>
      </c>
      <c r="C5283">
        <v>2818660</v>
      </c>
      <c r="D5283">
        <v>205</v>
      </c>
    </row>
    <row r="5284" spans="1:4" x14ac:dyDescent="0.25">
      <c r="A5284" t="str">
        <f>T("   842382")</f>
        <v xml:space="preserve">   842382</v>
      </c>
      <c r="B5284" t="str">
        <f>T("   Appareils et instruments de pesage, portée &gt; 30 kg mais &lt;= 5000 kg (à l'excl. des pèse-personnes, bascules à pesage continu sur transporteurs, bascules à pesées constantes et balances et bascules ensacheuses ou doseuses)")</f>
        <v xml:space="preserve">   Appareils et instruments de pesage, portée &gt; 30 kg mais &lt;= 5000 kg (à l'excl. des pèse-personnes, bascules à pesage continu sur transporteurs, bascules à pesées constantes et balances et bascules ensacheuses ou doseuses)</v>
      </c>
      <c r="C5284">
        <v>13756137</v>
      </c>
      <c r="D5284">
        <v>367</v>
      </c>
    </row>
    <row r="5285" spans="1:4" x14ac:dyDescent="0.25">
      <c r="A5285" t="str">
        <f>T("   842389")</f>
        <v xml:space="preserve">   842389</v>
      </c>
      <c r="B5285" t="str">
        <f>T("   Appareils et instruments de pesage, portée &gt; 5000 kg")</f>
        <v xml:space="preserve">   Appareils et instruments de pesage, portée &gt; 5000 kg</v>
      </c>
      <c r="C5285">
        <v>130642653</v>
      </c>
      <c r="D5285">
        <v>39007</v>
      </c>
    </row>
    <row r="5286" spans="1:4" x14ac:dyDescent="0.25">
      <c r="A5286" t="str">
        <f>T("   842390")</f>
        <v xml:space="preserve">   842390</v>
      </c>
      <c r="B5286" t="str">
        <f>T("   Poids pour balances de tous genres; parties d'appareils et instruments de pesage, n.d.a.")</f>
        <v xml:space="preserve">   Poids pour balances de tous genres; parties d'appareils et instruments de pesage, n.d.a.</v>
      </c>
      <c r="C5286">
        <v>43093621</v>
      </c>
      <c r="D5286">
        <v>32156</v>
      </c>
    </row>
    <row r="5287" spans="1:4" x14ac:dyDescent="0.25">
      <c r="A5287" t="str">
        <f>T("   842410")</f>
        <v xml:space="preserve">   842410</v>
      </c>
      <c r="B5287" t="str">
        <f>T("   Extincteurs mécaniques, même chargés (sauf bombes et grenades d'extinction d'incendie)")</f>
        <v xml:space="preserve">   Extincteurs mécaniques, même chargés (sauf bombes et grenades d'extinction d'incendie)</v>
      </c>
      <c r="C5287">
        <v>21886953</v>
      </c>
      <c r="D5287">
        <v>5195.5</v>
      </c>
    </row>
    <row r="5288" spans="1:4" x14ac:dyDescent="0.25">
      <c r="A5288" t="str">
        <f>T("   842420")</f>
        <v xml:space="preserve">   842420</v>
      </c>
      <c r="B5288" t="s">
        <v>408</v>
      </c>
      <c r="C5288">
        <v>1597075</v>
      </c>
      <c r="D5288">
        <v>489</v>
      </c>
    </row>
    <row r="5289" spans="1:4" x14ac:dyDescent="0.25">
      <c r="A5289" t="str">
        <f>T("   842430")</f>
        <v xml:space="preserve">   842430</v>
      </c>
      <c r="B5289" t="s">
        <v>409</v>
      </c>
      <c r="C5289">
        <v>7172658</v>
      </c>
      <c r="D5289">
        <v>914</v>
      </c>
    </row>
    <row r="5290" spans="1:4" x14ac:dyDescent="0.25">
      <c r="A5290" t="str">
        <f>T("   842481")</f>
        <v xml:space="preserve">   842481</v>
      </c>
      <c r="B5290" t="str">
        <f>T("   Machines et appareils mécaniques, même à main, à projeter, disperser ou pulvériser des matières liquides ou en poudre, pour l'agriculture ou l'horticulture")</f>
        <v xml:space="preserve">   Machines et appareils mécaniques, même à main, à projeter, disperser ou pulvériser des matières liquides ou en poudre, pour l'agriculture ou l'horticulture</v>
      </c>
      <c r="C5290">
        <v>220647817</v>
      </c>
      <c r="D5290">
        <v>19349</v>
      </c>
    </row>
    <row r="5291" spans="1:4" x14ac:dyDescent="0.25">
      <c r="A5291" t="str">
        <f>T("   842489")</f>
        <v xml:space="preserve">   842489</v>
      </c>
      <c r="B5291" t="str">
        <f>T("   Machines et appareils mécaniques, même à main, à projeter, disperser ou pulvériser des matières liquides ou en poudre, n.d.a.")</f>
        <v xml:space="preserve">   Machines et appareils mécaniques, même à main, à projeter, disperser ou pulvériser des matières liquides ou en poudre, n.d.a.</v>
      </c>
      <c r="C5291">
        <v>15013103</v>
      </c>
      <c r="D5291">
        <v>4362.8999999999996</v>
      </c>
    </row>
    <row r="5292" spans="1:4" x14ac:dyDescent="0.25">
      <c r="A5292" t="str">
        <f>T("   842490")</f>
        <v xml:space="preserve">   842490</v>
      </c>
      <c r="B5292" t="s">
        <v>410</v>
      </c>
      <c r="C5292">
        <v>44495771</v>
      </c>
      <c r="D5292">
        <v>9902</v>
      </c>
    </row>
    <row r="5293" spans="1:4" x14ac:dyDescent="0.25">
      <c r="A5293" t="str">
        <f>T("   842511")</f>
        <v xml:space="preserve">   842511</v>
      </c>
      <c r="B5293" t="str">
        <f>T("   Palans à moteur électrique")</f>
        <v xml:space="preserve">   Palans à moteur électrique</v>
      </c>
      <c r="C5293">
        <v>2154171</v>
      </c>
      <c r="D5293">
        <v>134</v>
      </c>
    </row>
    <row r="5294" spans="1:4" x14ac:dyDescent="0.25">
      <c r="A5294" t="str">
        <f>T("   842519")</f>
        <v xml:space="preserve">   842519</v>
      </c>
      <c r="B5294" t="str">
        <f>T("   Palans autres qu'à moteur électrique")</f>
        <v xml:space="preserve">   Palans autres qu'à moteur électrique</v>
      </c>
      <c r="C5294">
        <v>7128533</v>
      </c>
      <c r="D5294">
        <v>2040</v>
      </c>
    </row>
    <row r="5295" spans="1:4" x14ac:dyDescent="0.25">
      <c r="A5295" t="str">
        <f>T("   842531")</f>
        <v xml:space="preserve">   842531</v>
      </c>
      <c r="B5295" t="str">
        <f>T("   Treuils et cabestans, à moteur électrique (sauf treuils pour puits de mines et treuils spécialement conçus pour mines au fond)")</f>
        <v xml:space="preserve">   Treuils et cabestans, à moteur électrique (sauf treuils pour puits de mines et treuils spécialement conçus pour mines au fond)</v>
      </c>
      <c r="C5295">
        <v>7719338</v>
      </c>
      <c r="D5295">
        <v>412</v>
      </c>
    </row>
    <row r="5296" spans="1:4" x14ac:dyDescent="0.25">
      <c r="A5296" t="str">
        <f>T("   842539")</f>
        <v xml:space="preserve">   842539</v>
      </c>
      <c r="B5296" t="str">
        <f>T("   Treuils et cabestans, autres qu'à moteur électrique (sauf treuils pour puits de mines et sauf treuils spécialement conçus pour mines au fond)")</f>
        <v xml:space="preserve">   Treuils et cabestans, autres qu'à moteur électrique (sauf treuils pour puits de mines et sauf treuils spécialement conçus pour mines au fond)</v>
      </c>
      <c r="C5296">
        <v>1967880</v>
      </c>
      <c r="D5296">
        <v>3000</v>
      </c>
    </row>
    <row r="5297" spans="1:4" x14ac:dyDescent="0.25">
      <c r="A5297" t="str">
        <f>T("   842542")</f>
        <v xml:space="preserve">   842542</v>
      </c>
      <c r="B5297" t="str">
        <f>T("   Crics et vérins, hydrauliques (sauf élévateurs fixes des types utilisés dans les garages pour voitures)")</f>
        <v xml:space="preserve">   Crics et vérins, hydrauliques (sauf élévateurs fixes des types utilisés dans les garages pour voitures)</v>
      </c>
      <c r="C5297">
        <v>4253320</v>
      </c>
      <c r="D5297">
        <v>731</v>
      </c>
    </row>
    <row r="5298" spans="1:4" x14ac:dyDescent="0.25">
      <c r="A5298" t="str">
        <f>T("   842549")</f>
        <v xml:space="preserve">   842549</v>
      </c>
      <c r="B5298" t="str">
        <f>T("   Crics et vérins, non hydrauliques")</f>
        <v xml:space="preserve">   Crics et vérins, non hydrauliques</v>
      </c>
      <c r="C5298">
        <v>41489628</v>
      </c>
      <c r="D5298">
        <v>11214</v>
      </c>
    </row>
    <row r="5299" spans="1:4" x14ac:dyDescent="0.25">
      <c r="A5299" t="str">
        <f>T("   842611")</f>
        <v xml:space="preserve">   842611</v>
      </c>
      <c r="B5299" t="str">
        <f>T("   Ponts roulants et poutres roulantes sur supports fixes")</f>
        <v xml:space="preserve">   Ponts roulants et poutres roulantes sur supports fixes</v>
      </c>
      <c r="C5299">
        <v>36146938</v>
      </c>
      <c r="D5299">
        <v>6380</v>
      </c>
    </row>
    <row r="5300" spans="1:4" x14ac:dyDescent="0.25">
      <c r="A5300" t="str">
        <f>T("   842620")</f>
        <v xml:space="preserve">   842620</v>
      </c>
      <c r="B5300" t="str">
        <f>T("   Grues à tour")</f>
        <v xml:space="preserve">   Grues à tour</v>
      </c>
      <c r="C5300">
        <v>1014114</v>
      </c>
      <c r="D5300">
        <v>64</v>
      </c>
    </row>
    <row r="5301" spans="1:4" x14ac:dyDescent="0.25">
      <c r="A5301" t="str">
        <f>T("   842641")</f>
        <v xml:space="preserve">   842641</v>
      </c>
      <c r="B5301" t="str">
        <f>T("   Bigues et chariots-grues et autres machines et appareils autopropulsés, sur pneumatiques (à l'excl. des grues automotrices, portiques mobiles se déplaçant sur pneumatiques et sauf chariots-cavaliers)")</f>
        <v xml:space="preserve">   Bigues et chariots-grues et autres machines et appareils autopropulsés, sur pneumatiques (à l'excl. des grues automotrices, portiques mobiles se déplaçant sur pneumatiques et sauf chariots-cavaliers)</v>
      </c>
      <c r="C5301">
        <v>18000398</v>
      </c>
      <c r="D5301">
        <v>17237</v>
      </c>
    </row>
    <row r="5302" spans="1:4" x14ac:dyDescent="0.25">
      <c r="A5302" t="str">
        <f>T("   842649")</f>
        <v xml:space="preserve">   842649</v>
      </c>
      <c r="B5302" t="str">
        <f>T("   Bigues et chariots-grues et appareils autopropulsés (autres que sur pneumatiques et sauf chariots-cavaliers)")</f>
        <v xml:space="preserve">   Bigues et chariots-grues et appareils autopropulsés (autres que sur pneumatiques et sauf chariots-cavaliers)</v>
      </c>
      <c r="C5302">
        <v>819449503</v>
      </c>
      <c r="D5302">
        <v>202000</v>
      </c>
    </row>
    <row r="5303" spans="1:4" x14ac:dyDescent="0.25">
      <c r="A5303" t="str">
        <f>T("   842710")</f>
        <v xml:space="preserve">   842710</v>
      </c>
      <c r="B5303" t="str">
        <f>T("   Chariots de manutention autopropulsés à moteur électrique, avec dispositif de levage")</f>
        <v xml:space="preserve">   Chariots de manutention autopropulsés à moteur électrique, avec dispositif de levage</v>
      </c>
      <c r="C5303">
        <v>107885740</v>
      </c>
      <c r="D5303">
        <v>45242</v>
      </c>
    </row>
    <row r="5304" spans="1:4" x14ac:dyDescent="0.25">
      <c r="A5304" t="str">
        <f>T("   842720")</f>
        <v xml:space="preserve">   842720</v>
      </c>
      <c r="B5304" t="str">
        <f>T("   Chariots de manutention autopropulsés, autres qu'à moteur électrique, avec dispositif de levage")</f>
        <v xml:space="preserve">   Chariots de manutention autopropulsés, autres qu'à moteur électrique, avec dispositif de levage</v>
      </c>
      <c r="C5304">
        <v>161550780</v>
      </c>
      <c r="D5304">
        <v>41115</v>
      </c>
    </row>
    <row r="5305" spans="1:4" x14ac:dyDescent="0.25">
      <c r="A5305" t="str">
        <f>T("   842790")</f>
        <v xml:space="preserve">   842790</v>
      </c>
      <c r="B5305" t="str">
        <f>T("   Chariots de manutention munis d'un dispositif de levage mais non autopropulsés")</f>
        <v xml:space="preserve">   Chariots de manutention munis d'un dispositif de levage mais non autopropulsés</v>
      </c>
      <c r="C5305">
        <v>124331447</v>
      </c>
      <c r="D5305">
        <v>59953</v>
      </c>
    </row>
    <row r="5306" spans="1:4" x14ac:dyDescent="0.25">
      <c r="A5306" t="str">
        <f>T("   842810")</f>
        <v xml:space="preserve">   842810</v>
      </c>
      <c r="B5306" t="str">
        <f>T("   Ascenseurs et monte-charge")</f>
        <v xml:space="preserve">   Ascenseurs et monte-charge</v>
      </c>
      <c r="C5306">
        <v>135152108</v>
      </c>
      <c r="D5306">
        <v>20712</v>
      </c>
    </row>
    <row r="5307" spans="1:4" x14ac:dyDescent="0.25">
      <c r="A5307" t="str">
        <f>T("   842820")</f>
        <v xml:space="preserve">   842820</v>
      </c>
      <c r="B5307" t="str">
        <f>T("   Appareils élévateurs ou transporteurs, pneumatiques")</f>
        <v xml:space="preserve">   Appareils élévateurs ou transporteurs, pneumatiques</v>
      </c>
      <c r="C5307">
        <v>61119728</v>
      </c>
      <c r="D5307">
        <v>13935</v>
      </c>
    </row>
    <row r="5308" spans="1:4" x14ac:dyDescent="0.25">
      <c r="A5308" t="str">
        <f>T("   842832")</f>
        <v xml:space="preserve">   842832</v>
      </c>
      <c r="B5308" t="str">
        <f>T("   Appareils élévateurs, transporteurs ou convoyeurs pour marchandises, à action continue, à benne (autres que conçus pour mines au fond ou autres travaux souterrains)")</f>
        <v xml:space="preserve">   Appareils élévateurs, transporteurs ou convoyeurs pour marchandises, à action continue, à benne (autres que conçus pour mines au fond ou autres travaux souterrains)</v>
      </c>
      <c r="C5308">
        <v>1015590</v>
      </c>
      <c r="D5308">
        <v>980</v>
      </c>
    </row>
    <row r="5309" spans="1:4" x14ac:dyDescent="0.25">
      <c r="A5309" t="str">
        <f>T("   842833")</f>
        <v xml:space="preserve">   842833</v>
      </c>
      <c r="B5309" t="str">
        <f>T("   Appareils élévateurs, transporteurs ou convoyeurs pour marchandises, à action continue, à bande ou à courroie (autres que conçus pour mines au fond et autres travaux souterrains)")</f>
        <v xml:space="preserve">   Appareils élévateurs, transporteurs ou convoyeurs pour marchandises, à action continue, à bande ou à courroie (autres que conçus pour mines au fond et autres travaux souterrains)</v>
      </c>
      <c r="C5309">
        <v>294712333</v>
      </c>
      <c r="D5309">
        <v>23481</v>
      </c>
    </row>
    <row r="5310" spans="1:4" x14ac:dyDescent="0.25">
      <c r="A5310" t="str">
        <f>T("   842839")</f>
        <v xml:space="preserve">   842839</v>
      </c>
      <c r="B5310" t="str">
        <f>T("   Appareils élévateurs, transporteurs ou convoyeurs pour marchandises, à action continue (autres que conçus pour mines au fond ou pour autres travaux souterrains, autres qu'à benne, à bande ou à courroie et autres que pneumatiques)")</f>
        <v xml:space="preserve">   Appareils élévateurs, transporteurs ou convoyeurs pour marchandises, à action continue (autres que conçus pour mines au fond ou pour autres travaux souterrains, autres qu'à benne, à bande ou à courroie et autres que pneumatiques)</v>
      </c>
      <c r="C5310">
        <v>9659005</v>
      </c>
      <c r="D5310">
        <v>2689</v>
      </c>
    </row>
    <row r="5311" spans="1:4" x14ac:dyDescent="0.25">
      <c r="A5311" t="str">
        <f>T("   842890")</f>
        <v xml:space="preserve">   842890</v>
      </c>
      <c r="B5311" t="str">
        <f>T("   Machines et appareils de levage, chargement, déchargement ou manutention, n.d.a.")</f>
        <v xml:space="preserve">   Machines et appareils de levage, chargement, déchargement ou manutention, n.d.a.</v>
      </c>
      <c r="C5311">
        <v>1906220</v>
      </c>
      <c r="D5311">
        <v>1200</v>
      </c>
    </row>
    <row r="5312" spans="1:4" x14ac:dyDescent="0.25">
      <c r="A5312" t="str">
        <f>T("   842911")</f>
        <v xml:space="preserve">   842911</v>
      </c>
      <c r="B5312" t="str">
        <f>T("   Bouteurs 'bulldozers' et bouteurs biais 'angledozers', à chenilles")</f>
        <v xml:space="preserve">   Bouteurs 'bulldozers' et bouteurs biais 'angledozers', à chenilles</v>
      </c>
      <c r="C5312">
        <v>15846343</v>
      </c>
      <c r="D5312">
        <v>108500</v>
      </c>
    </row>
    <row r="5313" spans="1:4" x14ac:dyDescent="0.25">
      <c r="A5313" t="str">
        <f>T("   842919")</f>
        <v xml:space="preserve">   842919</v>
      </c>
      <c r="B5313" t="str">
        <f>T("   Bouteurs 'bulldozers' et bouteurs biais 'angledozers', sur roues")</f>
        <v xml:space="preserve">   Bouteurs 'bulldozers' et bouteurs biais 'angledozers', sur roues</v>
      </c>
      <c r="C5313">
        <v>28377267</v>
      </c>
      <c r="D5313">
        <v>48700</v>
      </c>
    </row>
    <row r="5314" spans="1:4" x14ac:dyDescent="0.25">
      <c r="A5314" t="str">
        <f>T("   842920")</f>
        <v xml:space="preserve">   842920</v>
      </c>
      <c r="B5314" t="str">
        <f>T("   Niveleuses autopropulsées")</f>
        <v xml:space="preserve">   Niveleuses autopropulsées</v>
      </c>
      <c r="C5314">
        <v>449430871</v>
      </c>
      <c r="D5314">
        <v>152308</v>
      </c>
    </row>
    <row r="5315" spans="1:4" x14ac:dyDescent="0.25">
      <c r="A5315" t="str">
        <f>T("   842940")</f>
        <v xml:space="preserve">   842940</v>
      </c>
      <c r="B5315" t="str">
        <f>T("   Rouleaux compresseurs et autres compacteuses, autopropulsés")</f>
        <v xml:space="preserve">   Rouleaux compresseurs et autres compacteuses, autopropulsés</v>
      </c>
      <c r="C5315">
        <v>152891430</v>
      </c>
      <c r="D5315">
        <v>115765</v>
      </c>
    </row>
    <row r="5316" spans="1:4" x14ac:dyDescent="0.25">
      <c r="A5316" t="str">
        <f>T("   842951")</f>
        <v xml:space="preserve">   842951</v>
      </c>
      <c r="B5316" t="str">
        <f>T("   Chargeuses et chargeuses-pelleteuses, à chargement frontal, autopropulsées")</f>
        <v xml:space="preserve">   Chargeuses et chargeuses-pelleteuses, à chargement frontal, autopropulsées</v>
      </c>
      <c r="C5316">
        <v>1093796477</v>
      </c>
      <c r="D5316">
        <v>576516</v>
      </c>
    </row>
    <row r="5317" spans="1:4" x14ac:dyDescent="0.25">
      <c r="A5317" t="str">
        <f>T("   842952")</f>
        <v xml:space="preserve">   842952</v>
      </c>
      <c r="B5317" t="str">
        <f>T("   Pelles mécaniques, autopropulsées, dont la superstructure peut effectuer une rotation de 360°")</f>
        <v xml:space="preserve">   Pelles mécaniques, autopropulsées, dont la superstructure peut effectuer une rotation de 360°</v>
      </c>
      <c r="C5317">
        <v>184566087</v>
      </c>
      <c r="D5317">
        <v>87300</v>
      </c>
    </row>
    <row r="5318" spans="1:4" x14ac:dyDescent="0.25">
      <c r="A5318" t="str">
        <f>T("   842959")</f>
        <v xml:space="preserve">   842959</v>
      </c>
      <c r="B5318"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5318">
        <v>442482373</v>
      </c>
      <c r="D5318">
        <v>469400</v>
      </c>
    </row>
    <row r="5319" spans="1:4" x14ac:dyDescent="0.25">
      <c r="A5319" t="str">
        <f>T("   843041")</f>
        <v xml:space="preserve">   843041</v>
      </c>
      <c r="B5319" t="s">
        <v>412</v>
      </c>
      <c r="C5319">
        <v>38519283</v>
      </c>
      <c r="D5319">
        <v>14800</v>
      </c>
    </row>
    <row r="5320" spans="1:4" x14ac:dyDescent="0.25">
      <c r="A5320" t="str">
        <f>T("   843049")</f>
        <v xml:space="preserve">   843049</v>
      </c>
      <c r="B5320" t="str">
        <f>T("   Machines de sondage ou de forage de la terre, des minéraux ou des minerais non autopropulsées et non hydrauliques (à l'excl. des machines à creuser les tunnels et autres machines à creuser les galeries, et sauf outillage pour emploi à la main)")</f>
        <v xml:space="preserve">   Machines de sondage ou de forage de la terre, des minéraux ou des minerais non autopropulsées et non hydrauliques (à l'excl. des machines à creuser les tunnels et autres machines à creuser les galeries, et sauf outillage pour emploi à la main)</v>
      </c>
      <c r="C5320">
        <v>71430109</v>
      </c>
      <c r="D5320">
        <v>33358</v>
      </c>
    </row>
    <row r="5321" spans="1:4" x14ac:dyDescent="0.25">
      <c r="A5321" t="str">
        <f>T("   843069")</f>
        <v xml:space="preserve">   843069</v>
      </c>
      <c r="B5321" t="str">
        <f>T("   Machines et appareils de terrassement, nivellement, décapage, excavation, compactage, extraction ou forage de la terre, des minéraux ou des minerais, non autopropulsés, n.d.a.")</f>
        <v xml:space="preserve">   Machines et appareils de terrassement, nivellement, décapage, excavation, compactage, extraction ou forage de la terre, des minéraux ou des minerais, non autopropulsés, n.d.a.</v>
      </c>
      <c r="C5321">
        <v>7000405</v>
      </c>
      <c r="D5321">
        <v>22000</v>
      </c>
    </row>
    <row r="5322" spans="1:4" x14ac:dyDescent="0.25">
      <c r="A5322" t="str">
        <f>T("   843110")</f>
        <v xml:space="preserve">   843110</v>
      </c>
      <c r="B5322" t="str">
        <f>T("   Parties de palans; treuils, cabestans; crics et vérins, n.d.a.")</f>
        <v xml:space="preserve">   Parties de palans; treuils, cabestans; crics et vérins, n.d.a.</v>
      </c>
      <c r="C5322">
        <v>6930217</v>
      </c>
      <c r="D5322">
        <v>1015</v>
      </c>
    </row>
    <row r="5323" spans="1:4" x14ac:dyDescent="0.25">
      <c r="A5323" t="str">
        <f>T("   843120")</f>
        <v xml:space="preserve">   843120</v>
      </c>
      <c r="B5323" t="str">
        <f>T("   Parties de chariots-gerbeurs et autres chariots de manutention munis d'un dispositif de levage, n.d.a.")</f>
        <v xml:space="preserve">   Parties de chariots-gerbeurs et autres chariots de manutention munis d'un dispositif de levage, n.d.a.</v>
      </c>
      <c r="C5323">
        <v>84978885</v>
      </c>
      <c r="D5323">
        <v>27931.5</v>
      </c>
    </row>
    <row r="5324" spans="1:4" x14ac:dyDescent="0.25">
      <c r="A5324" t="str">
        <f>T("   843131")</f>
        <v xml:space="preserve">   843131</v>
      </c>
      <c r="B5324" t="str">
        <f>T("   Parties d'ascenseurs, monte-charge ou escaliers mécaniques, n.d.a.")</f>
        <v xml:space="preserve">   Parties d'ascenseurs, monte-charge ou escaliers mécaniques, n.d.a.</v>
      </c>
      <c r="C5324">
        <v>5670693</v>
      </c>
      <c r="D5324">
        <v>1175</v>
      </c>
    </row>
    <row r="5325" spans="1:4" x14ac:dyDescent="0.25">
      <c r="A5325" t="str">
        <f>T("   843139")</f>
        <v xml:space="preserve">   843139</v>
      </c>
      <c r="B5325" t="str">
        <f>T("   Parties de machines et appareils du n° 8428, n.d.a.")</f>
        <v xml:space="preserve">   Parties de machines et appareils du n° 8428, n.d.a.</v>
      </c>
      <c r="C5325">
        <v>109882953</v>
      </c>
      <c r="D5325">
        <v>8528</v>
      </c>
    </row>
    <row r="5326" spans="1:4" x14ac:dyDescent="0.25">
      <c r="A5326" t="str">
        <f>T("   843141")</f>
        <v xml:space="preserve">   843141</v>
      </c>
      <c r="B5326" t="str">
        <f>T("   Godets, bennes, bennes-preneuses, pelles, grappins et pinces pour machines et appareils du n° 8426, 8429 ou 8430")</f>
        <v xml:space="preserve">   Godets, bennes, bennes-preneuses, pelles, grappins et pinces pour machines et appareils du n° 8426, 8429 ou 8430</v>
      </c>
      <c r="C5326">
        <v>154642712</v>
      </c>
      <c r="D5326">
        <v>16325</v>
      </c>
    </row>
    <row r="5327" spans="1:4" x14ac:dyDescent="0.25">
      <c r="A5327" t="str">
        <f>T("   843142")</f>
        <v xml:space="preserve">   843142</v>
      </c>
      <c r="B5327" t="str">
        <f>T("   Lames de bouteurs 'bulldozers' ou de bouteurs biais 'angledozers', n.d.a.")</f>
        <v xml:space="preserve">   Lames de bouteurs 'bulldozers' ou de bouteurs biais 'angledozers', n.d.a.</v>
      </c>
      <c r="C5327">
        <v>3056117</v>
      </c>
      <c r="D5327">
        <v>646</v>
      </c>
    </row>
    <row r="5328" spans="1:4" x14ac:dyDescent="0.25">
      <c r="A5328" t="str">
        <f>T("   843143")</f>
        <v xml:space="preserve">   843143</v>
      </c>
      <c r="B5328" t="str">
        <f>T("   Parties de machines de sondage ou de forage du n° 8430.41 ou 8430.49, n.d.a.")</f>
        <v xml:space="preserve">   Parties de machines de sondage ou de forage du n° 8430.41 ou 8430.49, n.d.a.</v>
      </c>
      <c r="C5328">
        <v>6260922</v>
      </c>
      <c r="D5328">
        <v>643</v>
      </c>
    </row>
    <row r="5329" spans="1:4" x14ac:dyDescent="0.25">
      <c r="A5329" t="str">
        <f>T("   843149")</f>
        <v xml:space="preserve">   843149</v>
      </c>
      <c r="B5329" t="str">
        <f>T("   Parties de machines et appareils du n° 8426, 8429 ou 8430, n.d.a.")</f>
        <v xml:space="preserve">   Parties de machines et appareils du n° 8426, 8429 ou 8430, n.d.a.</v>
      </c>
      <c r="C5329">
        <v>915620932</v>
      </c>
      <c r="D5329">
        <v>323597.36</v>
      </c>
    </row>
    <row r="5330" spans="1:4" x14ac:dyDescent="0.25">
      <c r="A5330" t="str">
        <f>T("   843210")</f>
        <v xml:space="preserve">   843210</v>
      </c>
      <c r="B5330" t="str">
        <f>T("   Charrues pour l'agriculture, la sylviculture ou l'horticulture")</f>
        <v xml:space="preserve">   Charrues pour l'agriculture, la sylviculture ou l'horticulture</v>
      </c>
      <c r="C5330">
        <v>100000</v>
      </c>
      <c r="D5330">
        <v>100</v>
      </c>
    </row>
    <row r="5331" spans="1:4" x14ac:dyDescent="0.25">
      <c r="A5331" t="str">
        <f>T("   843230")</f>
        <v xml:space="preserve">   843230</v>
      </c>
      <c r="B5331" t="str">
        <f>T("   Semoirs, plantoirs et repiqueurs pour l'agriculture, la sylviculture ou l'horticulture")</f>
        <v xml:space="preserve">   Semoirs, plantoirs et repiqueurs pour l'agriculture, la sylviculture ou l'horticulture</v>
      </c>
      <c r="C5331">
        <v>19288261</v>
      </c>
      <c r="D5331">
        <v>2700</v>
      </c>
    </row>
    <row r="5332" spans="1:4" x14ac:dyDescent="0.25">
      <c r="A5332" t="str">
        <f>T("   843290")</f>
        <v xml:space="preserve">   843290</v>
      </c>
      <c r="B5332" t="str">
        <f>T("   Parties de machines, appareils et engins agricoles, sylvicoles ou horticoles pour la préparation ou le travail du sol ou pour la culture, ainsi que de rouleaux pour pelouses ou terrains de sport, n.d.a.")</f>
        <v xml:space="preserve">   Parties de machines, appareils et engins agricoles, sylvicoles ou horticoles pour la préparation ou le travail du sol ou pour la culture, ainsi que de rouleaux pour pelouses ou terrains de sport, n.d.a.</v>
      </c>
      <c r="C5332">
        <v>451500</v>
      </c>
      <c r="D5332">
        <v>1072</v>
      </c>
    </row>
    <row r="5333" spans="1:4" x14ac:dyDescent="0.25">
      <c r="A5333" t="str">
        <f>T("   843319")</f>
        <v xml:space="preserve">   843319</v>
      </c>
      <c r="B5333" t="str">
        <f>T("   Tondeuses à gazon à moteur, dont le dispositif de coupe tourne dans un plan vertical, ou à barre de coupe")</f>
        <v xml:space="preserve">   Tondeuses à gazon à moteur, dont le dispositif de coupe tourne dans un plan vertical, ou à barre de coupe</v>
      </c>
      <c r="C5333">
        <v>3673573</v>
      </c>
      <c r="D5333">
        <v>853</v>
      </c>
    </row>
    <row r="5334" spans="1:4" x14ac:dyDescent="0.25">
      <c r="A5334" t="str">
        <f>T("   843390")</f>
        <v xml:space="preserve">   843390</v>
      </c>
      <c r="B5334" t="str">
        <f>T("   Parties des machines, appareils et engins pour la récolte, le battage et le fauchage, et des machines pour le nettoyage ou le triage des produits agricoles, n.d.a.")</f>
        <v xml:space="preserve">   Parties des machines, appareils et engins pour la récolte, le battage et le fauchage, et des machines pour le nettoyage ou le triage des produits agricoles, n.d.a.</v>
      </c>
      <c r="C5334">
        <v>1068624</v>
      </c>
      <c r="D5334">
        <v>289.2</v>
      </c>
    </row>
    <row r="5335" spans="1:4" x14ac:dyDescent="0.25">
      <c r="A5335" t="str">
        <f>T("   843629")</f>
        <v xml:space="preserve">   843629</v>
      </c>
      <c r="B5335" t="str">
        <f>T("   Machines et appareils pour l'aviculture (sauf machines à trier les oeufs, machines à plumer du n° 8438 et sauf couveuses et éleveuses)")</f>
        <v xml:space="preserve">   Machines et appareils pour l'aviculture (sauf machines à trier les oeufs, machines à plumer du n° 8438 et sauf couveuses et éleveuses)</v>
      </c>
      <c r="C5335">
        <v>23477397</v>
      </c>
      <c r="D5335">
        <v>2735</v>
      </c>
    </row>
    <row r="5336" spans="1:4" x14ac:dyDescent="0.25">
      <c r="A5336" t="str">
        <f>T("   843680")</f>
        <v xml:space="preserve">   843680</v>
      </c>
      <c r="B5336" t="str">
        <f>T("   Machines et appareils pour l'agriculture, la sylviculture, l'horticulture ou l'apiculture, n.d.a.")</f>
        <v xml:space="preserve">   Machines et appareils pour l'agriculture, la sylviculture, l'horticulture ou l'apiculture, n.d.a.</v>
      </c>
      <c r="C5336">
        <v>248715797</v>
      </c>
      <c r="D5336">
        <v>55450</v>
      </c>
    </row>
    <row r="5337" spans="1:4" x14ac:dyDescent="0.25">
      <c r="A5337" t="str">
        <f>T("   843691")</f>
        <v xml:space="preserve">   843691</v>
      </c>
      <c r="B5337" t="str">
        <f>T("   Parties de machines et appareils pour l'aviculture, n.d.a.")</f>
        <v xml:space="preserve">   Parties de machines et appareils pour l'aviculture, n.d.a.</v>
      </c>
      <c r="C5337">
        <v>1847184</v>
      </c>
      <c r="D5337">
        <v>500</v>
      </c>
    </row>
    <row r="5338" spans="1:4" x14ac:dyDescent="0.25">
      <c r="A5338" t="str">
        <f>T("   843780")</f>
        <v xml:space="preserve">   843780</v>
      </c>
      <c r="B5338" t="s">
        <v>418</v>
      </c>
      <c r="C5338">
        <v>1062655</v>
      </c>
      <c r="D5338">
        <v>3627</v>
      </c>
    </row>
    <row r="5339" spans="1:4" x14ac:dyDescent="0.25">
      <c r="A5339" t="str">
        <f>T("   843790")</f>
        <v xml:space="preserve">   843790</v>
      </c>
      <c r="B5339" t="str">
        <f>T("   Parties de machines et appareils de minoterie ou pour le traitement des céréales ou légumes secs ou pour le nettoyage, le triage ou le criblage des grains ou des légumes secs, n.d.a.")</f>
        <v xml:space="preserve">   Parties de machines et appareils de minoterie ou pour le traitement des céréales ou légumes secs ou pour le nettoyage, le triage ou le criblage des grains ou des légumes secs, n.d.a.</v>
      </c>
      <c r="C5339">
        <v>10581265</v>
      </c>
      <c r="D5339">
        <v>1513</v>
      </c>
    </row>
    <row r="5340" spans="1:4" x14ac:dyDescent="0.25">
      <c r="A5340" t="str">
        <f>T("   843810")</f>
        <v xml:space="preserve">   843810</v>
      </c>
      <c r="B5340" t="s">
        <v>419</v>
      </c>
      <c r="C5340">
        <v>12065809</v>
      </c>
      <c r="D5340">
        <v>59503</v>
      </c>
    </row>
    <row r="5341" spans="1:4" x14ac:dyDescent="0.25">
      <c r="A5341" t="str">
        <f>T("   843840")</f>
        <v xml:space="preserve">   843840</v>
      </c>
      <c r="B5341" t="str">
        <f>T("   Machines et appareils pour la brasserie (sauf centrifugeuses et sauf appareils de filtrage, appareils thermiques et appareils de refroidissement)")</f>
        <v xml:space="preserve">   Machines et appareils pour la brasserie (sauf centrifugeuses et sauf appareils de filtrage, appareils thermiques et appareils de refroidissement)</v>
      </c>
      <c r="C5341">
        <v>1143338</v>
      </c>
      <c r="D5341">
        <v>6</v>
      </c>
    </row>
    <row r="5342" spans="1:4" x14ac:dyDescent="0.25">
      <c r="A5342" t="str">
        <f>T("   843850")</f>
        <v xml:space="preserve">   843850</v>
      </c>
      <c r="B5342" t="str">
        <f>T("   Machines et appareils pour le traitement industriel des viandes (sauf appareils de cuisson et autres appareils thermiques ainsi que les installations de refroidissement et de congélation)")</f>
        <v xml:space="preserve">   Machines et appareils pour le traitement industriel des viandes (sauf appareils de cuisson et autres appareils thermiques ainsi que les installations de refroidissement et de congélation)</v>
      </c>
      <c r="C5342">
        <v>7705199</v>
      </c>
      <c r="D5342">
        <v>1423</v>
      </c>
    </row>
    <row r="5343" spans="1:4" x14ac:dyDescent="0.25">
      <c r="A5343" t="str">
        <f>T("   843880")</f>
        <v xml:space="preserve">   843880</v>
      </c>
      <c r="B5343" t="str">
        <f>T("   Machines et appareils pour la préparation ou la fabrication industrielles d'aliments ou de boissons, n.d.a.")</f>
        <v xml:space="preserve">   Machines et appareils pour la préparation ou la fabrication industrielles d'aliments ou de boissons, n.d.a.</v>
      </c>
      <c r="C5343">
        <v>13990314</v>
      </c>
      <c r="D5343">
        <v>1702</v>
      </c>
    </row>
    <row r="5344" spans="1:4" x14ac:dyDescent="0.25">
      <c r="A5344" t="str">
        <f>T("   843890")</f>
        <v xml:space="preserve">   843890</v>
      </c>
      <c r="B5344" t="str">
        <f>T("   Parties des machines et appareils pour le traitement, la préparation ou la fabrication industriels d'aliments ou de boissons, n.d.a.")</f>
        <v xml:space="preserve">   Parties des machines et appareils pour le traitement, la préparation ou la fabrication industriels d'aliments ou de boissons, n.d.a.</v>
      </c>
      <c r="C5344">
        <v>78851435</v>
      </c>
      <c r="D5344">
        <v>10361</v>
      </c>
    </row>
    <row r="5345" spans="1:4" x14ac:dyDescent="0.25">
      <c r="A5345" t="str">
        <f>T("   844010")</f>
        <v xml:space="preserve">   844010</v>
      </c>
      <c r="B5345" t="s">
        <v>421</v>
      </c>
      <c r="C5345">
        <v>4908475</v>
      </c>
      <c r="D5345">
        <v>771</v>
      </c>
    </row>
    <row r="5346" spans="1:4" x14ac:dyDescent="0.25">
      <c r="A5346" t="str">
        <f>T("   844110")</f>
        <v xml:space="preserve">   844110</v>
      </c>
      <c r="B5346" t="str">
        <f>T("   Coupeuses pour le travail de la pâte à papier, du papier ou du carton (sauf machines et appareils pour le brochage ou la reliure)")</f>
        <v xml:space="preserve">   Coupeuses pour le travail de la pâte à papier, du papier ou du carton (sauf machines et appareils pour le brochage ou la reliure)</v>
      </c>
      <c r="C5346">
        <v>11356924</v>
      </c>
      <c r="D5346">
        <v>5370</v>
      </c>
    </row>
    <row r="5347" spans="1:4" x14ac:dyDescent="0.25">
      <c r="A5347" t="str">
        <f>T("   844190")</f>
        <v xml:space="preserve">   844190</v>
      </c>
      <c r="B5347" t="str">
        <f>T("   Parties de machines et appareils pour le travail de la pâte à papier, du papier ou du carton, n.d.a.")</f>
        <v xml:space="preserve">   Parties de machines et appareils pour le travail de la pâte à papier, du papier ou du carton, n.d.a.</v>
      </c>
      <c r="C5347">
        <v>945238</v>
      </c>
      <c r="D5347">
        <v>74</v>
      </c>
    </row>
    <row r="5348" spans="1:4" x14ac:dyDescent="0.25">
      <c r="A5348" t="str">
        <f>T("   844230")</f>
        <v xml:space="preserve">   844230</v>
      </c>
      <c r="B5348" t="s">
        <v>422</v>
      </c>
      <c r="C5348">
        <v>18982171</v>
      </c>
      <c r="D5348">
        <v>41423</v>
      </c>
    </row>
    <row r="5349" spans="1:4" x14ac:dyDescent="0.25">
      <c r="A5349" t="str">
        <f>T("   844250")</f>
        <v xml:space="preserve">   844250</v>
      </c>
      <c r="B5349" t="str">
        <f>T("   PLANCHES, CYLINDRES ET AUTRES ORGANES IMPRIMANTS; PIERRES LITHOGRAPHIQUES, PLANCHES, PLAQUES ET CYLINDRES PRÉPARÉS POUR L'IMPRESSION -PLANÉS, GRENÉS, POLIS, P.EX.-")</f>
        <v xml:space="preserve">   PLANCHES, CYLINDRES ET AUTRES ORGANES IMPRIMANTS; PIERRES LITHOGRAPHIQUES, PLANCHES, PLAQUES ET CYLINDRES PRÉPARÉS POUR L'IMPRESSION -PLANÉS, GRENÉS, POLIS, P.EX.-</v>
      </c>
      <c r="C5349">
        <v>1612350</v>
      </c>
      <c r="D5349">
        <v>2.5</v>
      </c>
    </row>
    <row r="5350" spans="1:4" x14ac:dyDescent="0.25">
      <c r="A5350" t="str">
        <f>T("   844319")</f>
        <v xml:space="preserve">   844319</v>
      </c>
      <c r="B5350" t="s">
        <v>423</v>
      </c>
      <c r="C5350">
        <v>24923199</v>
      </c>
      <c r="D5350">
        <v>28274</v>
      </c>
    </row>
    <row r="5351" spans="1:4" x14ac:dyDescent="0.25">
      <c r="A5351" t="str">
        <f>T("   844329")</f>
        <v xml:space="preserve">   844329</v>
      </c>
      <c r="B5351" t="str">
        <f>T("   Machines et appareils à imprimer, typographiques (sauf machines et appareils flexographiques, et machines et appareils à imprimer typographiques alimentés en bobines)")</f>
        <v xml:space="preserve">   Machines et appareils à imprimer, typographiques (sauf machines et appareils flexographiques, et machines et appareils à imprimer typographiques alimentés en bobines)</v>
      </c>
      <c r="C5351">
        <v>10234662</v>
      </c>
      <c r="D5351">
        <v>15709</v>
      </c>
    </row>
    <row r="5352" spans="1:4" x14ac:dyDescent="0.25">
      <c r="A5352" t="str">
        <f>T("   844330")</f>
        <v xml:space="preserve">   844330</v>
      </c>
      <c r="B5352" t="str">
        <f>T("   Machines et appareils à imprimer, flexographiques")</f>
        <v xml:space="preserve">   Machines et appareils à imprimer, flexographiques</v>
      </c>
      <c r="C5352">
        <v>12661963</v>
      </c>
      <c r="D5352">
        <v>865</v>
      </c>
    </row>
    <row r="5353" spans="1:4" x14ac:dyDescent="0.25">
      <c r="A5353" t="str">
        <f>T("   844351")</f>
        <v xml:space="preserve">   844351</v>
      </c>
      <c r="B5353" t="str">
        <f>T("   Machines à imprimer à jet d'encre")</f>
        <v xml:space="preserve">   Machines à imprimer à jet d'encre</v>
      </c>
      <c r="C5353">
        <v>5482147</v>
      </c>
      <c r="D5353">
        <v>1954</v>
      </c>
    </row>
    <row r="5354" spans="1:4" x14ac:dyDescent="0.25">
      <c r="A5354" t="str">
        <f>T("   844359")</f>
        <v xml:space="preserve">   844359</v>
      </c>
      <c r="B5354" t="s">
        <v>424</v>
      </c>
      <c r="C5354">
        <v>14781507</v>
      </c>
      <c r="D5354">
        <v>8481</v>
      </c>
    </row>
    <row r="5355" spans="1:4" x14ac:dyDescent="0.25">
      <c r="A5355" t="str">
        <f>T("   844360")</f>
        <v xml:space="preserve">   844360</v>
      </c>
      <c r="B5355" t="str">
        <f>T("   Machines auxiliaires pour l'impression fabriquées spécialement pour les machines et appareils à imprimer, pour placer, transporter ou travailler autrement les feuilles de papier ou les bandes continues de papier")</f>
        <v xml:space="preserve">   Machines auxiliaires pour l'impression fabriquées spécialement pour les machines et appareils à imprimer, pour placer, transporter ou travailler autrement les feuilles de papier ou les bandes continues de papier</v>
      </c>
      <c r="C5355">
        <v>1821530</v>
      </c>
      <c r="D5355">
        <v>462</v>
      </c>
    </row>
    <row r="5356" spans="1:4" x14ac:dyDescent="0.25">
      <c r="A5356" t="str">
        <f>T("   844390")</f>
        <v xml:space="preserve">   844390</v>
      </c>
      <c r="B5356" t="str">
        <f>T("   Parties de machines et appareils à imprimer et de leur machines et appareils auxiliaires, n.d.a.")</f>
        <v xml:space="preserve">   Parties de machines et appareils à imprimer et de leur machines et appareils auxiliaires, n.d.a.</v>
      </c>
      <c r="C5356">
        <v>1912368</v>
      </c>
      <c r="D5356">
        <v>605.5</v>
      </c>
    </row>
    <row r="5357" spans="1:4" x14ac:dyDescent="0.25">
      <c r="A5357" t="str">
        <f>T("   844720")</f>
        <v xml:space="preserve">   844720</v>
      </c>
      <c r="B5357" t="str">
        <f>T("   Métiers à bonneterie rectilignes; machines de couture-tricotage")</f>
        <v xml:space="preserve">   Métiers à bonneterie rectilignes; machines de couture-tricotage</v>
      </c>
      <c r="C5357">
        <v>32798</v>
      </c>
      <c r="D5357">
        <v>500</v>
      </c>
    </row>
    <row r="5358" spans="1:4" x14ac:dyDescent="0.25">
      <c r="A5358" t="str">
        <f>T("   844831")</f>
        <v xml:space="preserve">   844831</v>
      </c>
      <c r="B5358" t="str">
        <f>T("   GARNITURES DE CARDÉS DE MACHINES POUR LA PRÉPARATION DES MATIÈRES TEXTILES")</f>
        <v xml:space="preserve">   GARNITURES DE CARDÉS DE MACHINES POUR LA PRÉPARATION DES MATIÈRES TEXTILES</v>
      </c>
      <c r="C5358">
        <v>100998</v>
      </c>
      <c r="D5358">
        <v>2</v>
      </c>
    </row>
    <row r="5359" spans="1:4" x14ac:dyDescent="0.25">
      <c r="A5359" t="str">
        <f>T("   844832")</f>
        <v xml:space="preserve">   844832</v>
      </c>
      <c r="B5359" t="str">
        <f>T("   PARTIES ET ACCESSOIRES DE MACHINES POUR LA PRÉPARATION DES MATIÈRES TEXTILES, N.D.A. (AUTRES QUE LES GARNITURES DE CARDÉS)")</f>
        <v xml:space="preserve">   PARTIES ET ACCESSOIRES DE MACHINES POUR LA PRÉPARATION DES MATIÈRES TEXTILES, N.D.A. (AUTRES QUE LES GARNITURES DE CARDÉS)</v>
      </c>
      <c r="C5359">
        <v>87778638</v>
      </c>
      <c r="D5359">
        <v>6606</v>
      </c>
    </row>
    <row r="5360" spans="1:4" x14ac:dyDescent="0.25">
      <c r="A5360" t="str">
        <f>T("   844839")</f>
        <v xml:space="preserve">   844839</v>
      </c>
      <c r="B5360" t="str">
        <f>T("   Parties et accessoires des machines du n° 8445, n.d.a.")</f>
        <v xml:space="preserve">   Parties et accessoires des machines du n° 8445, n.d.a.</v>
      </c>
      <c r="C5360">
        <v>25481449</v>
      </c>
      <c r="D5360">
        <v>1945</v>
      </c>
    </row>
    <row r="5361" spans="1:4" x14ac:dyDescent="0.25">
      <c r="A5361" t="str">
        <f>T("   845012")</f>
        <v xml:space="preserve">   845012</v>
      </c>
      <c r="B5361" t="str">
        <f>T("   Machines à laver le linge, avec essoreuse centrifuge incorporée (à l'excl. des machines entièrement automatiques)")</f>
        <v xml:space="preserve">   Machines à laver le linge, avec essoreuse centrifuge incorporée (à l'excl. des machines entièrement automatiques)</v>
      </c>
      <c r="C5361">
        <v>549110</v>
      </c>
      <c r="D5361">
        <v>1025</v>
      </c>
    </row>
    <row r="5362" spans="1:4" x14ac:dyDescent="0.25">
      <c r="A5362" t="str">
        <f>T("   845019")</f>
        <v xml:space="preserve">   845019</v>
      </c>
      <c r="B5362" t="str">
        <f>T("   Machines à laver le linge d'une capacité unitaire exprimée en poids de linge sec &lt;= 6 kg (à l'excl. des machines entièrement automatiques et des machines à laver le linge avec essoreuse centrifuge incorporée)")</f>
        <v xml:space="preserve">   Machines à laver le linge d'une capacité unitaire exprimée en poids de linge sec &lt;= 6 kg (à l'excl. des machines entièrement automatiques et des machines à laver le linge avec essoreuse centrifuge incorporée)</v>
      </c>
      <c r="C5362">
        <v>3478104</v>
      </c>
      <c r="D5362">
        <v>5250.3</v>
      </c>
    </row>
    <row r="5363" spans="1:4" x14ac:dyDescent="0.25">
      <c r="A5363" t="str">
        <f>T("   845020")</f>
        <v xml:space="preserve">   845020</v>
      </c>
      <c r="B5363" t="str">
        <f>T("   Machines à laver le linge, capacité unitaire en poids de linge sec &gt; 10 kg")</f>
        <v xml:space="preserve">   Machines à laver le linge, capacité unitaire en poids de linge sec &gt; 10 kg</v>
      </c>
      <c r="C5363">
        <v>6194821</v>
      </c>
      <c r="D5363">
        <v>991.12</v>
      </c>
    </row>
    <row r="5364" spans="1:4" x14ac:dyDescent="0.25">
      <c r="A5364" t="str">
        <f>T("   845090")</f>
        <v xml:space="preserve">   845090</v>
      </c>
      <c r="B5364" t="str">
        <f>T("   Parties de machines à laver le linge, n.d.a.")</f>
        <v xml:space="preserve">   Parties de machines à laver le linge, n.d.a.</v>
      </c>
      <c r="C5364">
        <v>6365581</v>
      </c>
      <c r="D5364">
        <v>600.79</v>
      </c>
    </row>
    <row r="5365" spans="1:4" x14ac:dyDescent="0.25">
      <c r="A5365" t="str">
        <f>T("   845121")</f>
        <v xml:space="preserve">   845121</v>
      </c>
      <c r="B5365" t="str">
        <f>T("   Machines à sécher, capacité unitaire en poids de linge sec &lt;= 10 kg (à l'excl. des essoreuses centrifuges)")</f>
        <v xml:space="preserve">   Machines à sécher, capacité unitaire en poids de linge sec &lt;= 10 kg (à l'excl. des essoreuses centrifuges)</v>
      </c>
      <c r="C5365">
        <v>178421</v>
      </c>
      <c r="D5365">
        <v>78</v>
      </c>
    </row>
    <row r="5366" spans="1:4" x14ac:dyDescent="0.25">
      <c r="A5366" t="str">
        <f>T("   845140")</f>
        <v xml:space="preserve">   845140</v>
      </c>
      <c r="B5366" t="str">
        <f>T("   Machines et appareils pour le lavage, le blanchiment ou la teinture de fils, tissus ou autres ouvrages en matières textiles (sauf machines à laver le linge)")</f>
        <v xml:space="preserve">   Machines et appareils pour le lavage, le blanchiment ou la teinture de fils, tissus ou autres ouvrages en matières textiles (sauf machines à laver le linge)</v>
      </c>
      <c r="C5366">
        <v>32798</v>
      </c>
      <c r="D5366">
        <v>2000</v>
      </c>
    </row>
    <row r="5367" spans="1:4" x14ac:dyDescent="0.25">
      <c r="A5367" t="str">
        <f>T("   845180")</f>
        <v xml:space="preserve">   845180</v>
      </c>
      <c r="B5367" t="s">
        <v>426</v>
      </c>
      <c r="C5367">
        <v>150000</v>
      </c>
      <c r="D5367">
        <v>35</v>
      </c>
    </row>
    <row r="5368" spans="1:4" x14ac:dyDescent="0.25">
      <c r="A5368" t="str">
        <f>T("   845190")</f>
        <v xml:space="preserve">   845190</v>
      </c>
      <c r="B5368" t="s">
        <v>427</v>
      </c>
      <c r="C5368">
        <v>2217673</v>
      </c>
      <c r="D5368">
        <v>44.9</v>
      </c>
    </row>
    <row r="5369" spans="1:4" x14ac:dyDescent="0.25">
      <c r="A5369" t="str">
        <f>T("   845229")</f>
        <v xml:space="preserve">   845229</v>
      </c>
      <c r="B5369" t="str">
        <f>T("   Machines à coudre de type industriel (sauf unités automatiques)")</f>
        <v xml:space="preserve">   Machines à coudre de type industriel (sauf unités automatiques)</v>
      </c>
      <c r="C5369">
        <v>2159068</v>
      </c>
      <c r="D5369">
        <v>9428.58</v>
      </c>
    </row>
    <row r="5370" spans="1:4" x14ac:dyDescent="0.25">
      <c r="A5370" t="str">
        <f>T("   845410")</f>
        <v xml:space="preserve">   845410</v>
      </c>
      <c r="B5370" t="str">
        <f>T("   Convertisseurs pour métallurgie, aciérie ou fonderie")</f>
        <v xml:space="preserve">   Convertisseurs pour métallurgie, aciérie ou fonderie</v>
      </c>
      <c r="C5370">
        <v>1604478</v>
      </c>
      <c r="D5370">
        <v>3.7</v>
      </c>
    </row>
    <row r="5371" spans="1:4" x14ac:dyDescent="0.25">
      <c r="A5371" t="str">
        <f>T("   845899")</f>
        <v xml:space="preserve">   845899</v>
      </c>
      <c r="B5371" t="s">
        <v>428</v>
      </c>
      <c r="C5371">
        <v>8210303</v>
      </c>
      <c r="D5371">
        <v>1684</v>
      </c>
    </row>
    <row r="5372" spans="1:4" x14ac:dyDescent="0.25">
      <c r="A5372" t="str">
        <f>T("   845910")</f>
        <v xml:space="preserve">   845910</v>
      </c>
      <c r="B5372" t="str">
        <f>T("   Unités d'usinage à glissières, à percer, aléser, fraiser, fileter ou tarauder les métaux par enlèvement de matière")</f>
        <v xml:space="preserve">   Unités d'usinage à glissières, à percer, aléser, fraiser, fileter ou tarauder les métaux par enlèvement de matière</v>
      </c>
      <c r="C5372">
        <v>150000</v>
      </c>
      <c r="D5372">
        <v>200</v>
      </c>
    </row>
    <row r="5373" spans="1:4" x14ac:dyDescent="0.25">
      <c r="A5373" t="str">
        <f>T("   845969")</f>
        <v xml:space="preserve">   845969</v>
      </c>
      <c r="B5373" t="str">
        <f>T("   Machines à fraiser les métaux par enlèvement de matières (autres qu'à commande numérique et sauf unités d'usinage à glissières, aléseuses-fraiseuses combinées, machines à fraiser à console et machines à tailler les engrenages)")</f>
        <v xml:space="preserve">   Machines à fraiser les métaux par enlèvement de matières (autres qu'à commande numérique et sauf unités d'usinage à glissières, aléseuses-fraiseuses combinées, machines à fraiser à console et machines à tailler les engrenages)</v>
      </c>
      <c r="C5373">
        <v>4092324</v>
      </c>
      <c r="D5373">
        <v>180</v>
      </c>
    </row>
    <row r="5374" spans="1:4" x14ac:dyDescent="0.25">
      <c r="A5374" t="str">
        <f>T("   846029")</f>
        <v xml:space="preserve">   846029</v>
      </c>
      <c r="B5374" t="str">
        <f>T("   Machines à rectifier, dont le positionnement dans un des axes peut être réglé à au moins 0,01 mm près, pour le travail des métaux (autres qu'à commande numérique, autres que les surfaces planes et sauf machines à finir les engrenages)")</f>
        <v xml:space="preserve">   Machines à rectifier, dont le positionnement dans un des axes peut être réglé à au moins 0,01 mm près, pour le travail des métaux (autres qu'à commande numérique, autres que les surfaces planes et sauf machines à finir les engrenages)</v>
      </c>
      <c r="C5374">
        <v>457860</v>
      </c>
      <c r="D5374">
        <v>869</v>
      </c>
    </row>
    <row r="5375" spans="1:4" x14ac:dyDescent="0.25">
      <c r="A5375" t="str">
        <f>T("   846090")</f>
        <v xml:space="preserve">   846090</v>
      </c>
      <c r="B5375" t="s">
        <v>429</v>
      </c>
      <c r="C5375">
        <v>2500519</v>
      </c>
      <c r="D5375">
        <v>107</v>
      </c>
    </row>
    <row r="5376" spans="1:4" x14ac:dyDescent="0.25">
      <c r="A5376" t="str">
        <f>T("   846150")</f>
        <v xml:space="preserve">   846150</v>
      </c>
      <c r="B5376" t="str">
        <f>T("   Machines à scier ou à tronçonner, pour le travail des métaux (autres que l'outillage à main)")</f>
        <v xml:space="preserve">   Machines à scier ou à tronçonner, pour le travail des métaux (autres que l'outillage à main)</v>
      </c>
      <c r="C5376">
        <v>10516233</v>
      </c>
      <c r="D5376">
        <v>542</v>
      </c>
    </row>
    <row r="5377" spans="1:4" x14ac:dyDescent="0.25">
      <c r="A5377" t="str">
        <f>T("   846190")</f>
        <v xml:space="preserve">   846190</v>
      </c>
      <c r="B5377" t="str">
        <f>T("   Machines à raboter et autres machines-outils travaillant par enlèvement de métal, n.d.a.")</f>
        <v xml:space="preserve">   Machines à raboter et autres machines-outils travaillant par enlèvement de métal, n.d.a.</v>
      </c>
      <c r="C5377">
        <v>12101659</v>
      </c>
      <c r="D5377">
        <v>43058</v>
      </c>
    </row>
    <row r="5378" spans="1:4" x14ac:dyDescent="0.25">
      <c r="A5378" t="str">
        <f>T("   846221")</f>
        <v xml:space="preserve">   846221</v>
      </c>
      <c r="B5378" t="str">
        <f>T("   Machines, y.c. -les presses-, à rouler, cintrer, plier, dresser ou planer, à commande numérique, pour le travail des métaux")</f>
        <v xml:space="preserve">   Machines, y.c. -les presses-, à rouler, cintrer, plier, dresser ou planer, à commande numérique, pour le travail des métaux</v>
      </c>
      <c r="C5378">
        <v>2324723</v>
      </c>
      <c r="D5378">
        <v>55</v>
      </c>
    </row>
    <row r="5379" spans="1:4" x14ac:dyDescent="0.25">
      <c r="A5379" t="str">
        <f>T("   846239")</f>
        <v xml:space="preserve">   846239</v>
      </c>
      <c r="B5379" t="str">
        <f>T("   Machines, y.c. -les presses-, à cisailler, pour le travail des métaux (autres que les machines combinées à poinçonner et à cisailler et autres qu'à commande numérique)")</f>
        <v xml:space="preserve">   Machines, y.c. -les presses-, à cisailler, pour le travail des métaux (autres que les machines combinées à poinçonner et à cisailler et autres qu'à commande numérique)</v>
      </c>
      <c r="C5379">
        <v>16315943</v>
      </c>
      <c r="D5379">
        <v>1510</v>
      </c>
    </row>
    <row r="5380" spans="1:4" x14ac:dyDescent="0.25">
      <c r="A5380" t="str">
        <f>T("   846249")</f>
        <v xml:space="preserve">   846249</v>
      </c>
      <c r="B5380" t="str">
        <f>T("   MACHINES, Y.C. -LES PRESSES-, À POINÇONNER OU À GRUGER, Y.C. LES MACHINES COMBINÉES À POINÇONNER ET À CISAILLER, POUR LE TRAVAIL DES MÉTAUX (AUTRES QU'À COMMANDE NUMÉRIQUE)")</f>
        <v xml:space="preserve">   MACHINES, Y.C. -LES PRESSES-, À POINÇONNER OU À GRUGER, Y.C. LES MACHINES COMBINÉES À POINÇONNER ET À CISAILLER, POUR LE TRAVAIL DES MÉTAUX (AUTRES QU'À COMMANDE NUMÉRIQUE)</v>
      </c>
      <c r="C5380">
        <v>1802578</v>
      </c>
      <c r="D5380">
        <v>18</v>
      </c>
    </row>
    <row r="5381" spans="1:4" x14ac:dyDescent="0.25">
      <c r="A5381" t="str">
        <f>T("   846310")</f>
        <v xml:space="preserve">   846310</v>
      </c>
      <c r="B5381" t="str">
        <f>T("   Bancs à étirer les barres, tubes, profilés, fils ou simil. en métal")</f>
        <v xml:space="preserve">   Bancs à étirer les barres, tubes, profilés, fils ou simil. en métal</v>
      </c>
      <c r="C5381">
        <v>18259959</v>
      </c>
      <c r="D5381">
        <v>1000.5</v>
      </c>
    </row>
    <row r="5382" spans="1:4" x14ac:dyDescent="0.25">
      <c r="A5382" t="str">
        <f>T("   846390")</f>
        <v xml:space="preserve">   846390</v>
      </c>
      <c r="B5382" t="s">
        <v>430</v>
      </c>
      <c r="C5382">
        <v>170000</v>
      </c>
      <c r="D5382">
        <v>100</v>
      </c>
    </row>
    <row r="5383" spans="1:4" x14ac:dyDescent="0.25">
      <c r="A5383" t="str">
        <f>T("   846410")</f>
        <v xml:space="preserve">   846410</v>
      </c>
      <c r="B5383" t="str">
        <f>T("   Machines à scier pour le travail de la pierre, des produits céramiques, du béton, de l'amiante-ciment ou de matières minérales simil., ou pour le travail à froid du verre (à l'excl. des machines pour emploi à la main)")</f>
        <v xml:space="preserve">   Machines à scier pour le travail de la pierre, des produits céramiques, du béton, de l'amiante-ciment ou de matières minérales simil., ou pour le travail à froid du verre (à l'excl. des machines pour emploi à la main)</v>
      </c>
      <c r="C5383">
        <v>1951481</v>
      </c>
      <c r="D5383">
        <v>138</v>
      </c>
    </row>
    <row r="5384" spans="1:4" x14ac:dyDescent="0.25">
      <c r="A5384" t="str">
        <f>T("   846420")</f>
        <v xml:space="preserve">   846420</v>
      </c>
      <c r="B5384" t="str">
        <f>T("   Machines à meuler ou à polir pour le travail de la pierre, des produits céramiques, du béton, de l'amiante-ciment ou de matières minérales simil., ou pour le travail à froid du verre (à l'excl. des machines pour emploi à la main)")</f>
        <v xml:space="preserve">   Machines à meuler ou à polir pour le travail de la pierre, des produits céramiques, du béton, de l'amiante-ciment ou de matières minérales simil., ou pour le travail à froid du verre (à l'excl. des machines pour emploi à la main)</v>
      </c>
      <c r="C5384">
        <v>4600503</v>
      </c>
      <c r="D5384">
        <v>5064</v>
      </c>
    </row>
    <row r="5385" spans="1:4" x14ac:dyDescent="0.25">
      <c r="A5385" t="str">
        <f>T("   846490")</f>
        <v xml:space="preserve">   846490</v>
      </c>
      <c r="B5385" t="s">
        <v>431</v>
      </c>
      <c r="C5385">
        <v>179077</v>
      </c>
      <c r="D5385">
        <v>579</v>
      </c>
    </row>
    <row r="5386" spans="1:4" x14ac:dyDescent="0.25">
      <c r="A5386" t="str">
        <f>T("   846591")</f>
        <v xml:space="preserve">   846591</v>
      </c>
      <c r="B5386" t="str">
        <f>T("   Machines à scier, pour le travail du bois, des matières plastiques dures, etc. (autres que pour emploi à la main)")</f>
        <v xml:space="preserve">   Machines à scier, pour le travail du bois, des matières plastiques dures, etc. (autres que pour emploi à la main)</v>
      </c>
      <c r="C5386">
        <v>2463062</v>
      </c>
      <c r="D5386">
        <v>720</v>
      </c>
    </row>
    <row r="5387" spans="1:4" x14ac:dyDescent="0.25">
      <c r="A5387" t="str">
        <f>T("   846593")</f>
        <v xml:space="preserve">   846593</v>
      </c>
      <c r="B5387" t="str">
        <f>T("   Machines à meuler, à poncer ou à polir, pour le travail du bois, des matières plastiques dures, etc. (autres que machines pour emploi à la main)")</f>
        <v xml:space="preserve">   Machines à meuler, à poncer ou à polir, pour le travail du bois, des matières plastiques dures, etc. (autres que machines pour emploi à la main)</v>
      </c>
      <c r="C5387">
        <v>2052924</v>
      </c>
      <c r="D5387">
        <v>149</v>
      </c>
    </row>
    <row r="5388" spans="1:4" x14ac:dyDescent="0.25">
      <c r="A5388" t="str">
        <f>T("   846594")</f>
        <v xml:space="preserve">   846594</v>
      </c>
      <c r="B5388" t="str">
        <f>T("   Machines à cintrer ou à assembler, pour le travail du bois, des matières plastiques dures, etc. (autres que machines pour emploi à la main)")</f>
        <v xml:space="preserve">   Machines à cintrer ou à assembler, pour le travail du bois, des matières plastiques dures, etc. (autres que machines pour emploi à la main)</v>
      </c>
      <c r="C5388">
        <v>17041184</v>
      </c>
      <c r="D5388">
        <v>1330</v>
      </c>
    </row>
    <row r="5389" spans="1:4" x14ac:dyDescent="0.25">
      <c r="A5389" t="str">
        <f>T("   846595")</f>
        <v xml:space="preserve">   846595</v>
      </c>
      <c r="B5389" t="s">
        <v>433</v>
      </c>
      <c r="C5389">
        <v>984870</v>
      </c>
      <c r="D5389">
        <v>19</v>
      </c>
    </row>
    <row r="5390" spans="1:4" x14ac:dyDescent="0.25">
      <c r="A5390" t="str">
        <f>T("   846599")</f>
        <v xml:space="preserve">   846599</v>
      </c>
      <c r="B5390" t="s">
        <v>434</v>
      </c>
      <c r="C5390">
        <v>2758968</v>
      </c>
      <c r="D5390">
        <v>727</v>
      </c>
    </row>
    <row r="5391" spans="1:4" x14ac:dyDescent="0.25">
      <c r="A5391" t="str">
        <f>T("   846610")</f>
        <v xml:space="preserve">   846610</v>
      </c>
      <c r="B5391" t="str">
        <f>T("   Porte-outils pour machines-outils, y.c. l'outillage à main de tous types, et filières à déclenchement automatique")</f>
        <v xml:space="preserve">   Porte-outils pour machines-outils, y.c. l'outillage à main de tous types, et filières à déclenchement automatique</v>
      </c>
      <c r="C5391">
        <v>144967</v>
      </c>
      <c r="D5391">
        <v>7</v>
      </c>
    </row>
    <row r="5392" spans="1:4" x14ac:dyDescent="0.25">
      <c r="A5392" t="str">
        <f>T("   846620")</f>
        <v xml:space="preserve">   846620</v>
      </c>
      <c r="B5392" t="str">
        <f>T("   Porte-pièces pour machines-outils")</f>
        <v xml:space="preserve">   Porte-pièces pour machines-outils</v>
      </c>
      <c r="C5392">
        <v>125000</v>
      </c>
      <c r="D5392">
        <v>180</v>
      </c>
    </row>
    <row r="5393" spans="1:4" x14ac:dyDescent="0.25">
      <c r="A5393" t="str">
        <f>T("   846691")</f>
        <v xml:space="preserve">   846691</v>
      </c>
      <c r="B5393" t="str">
        <f>T("   Parties et accessoires pour machines-outils pour le travail de la pierre, des produits céramiques, du béton, etc., y.c. le travail à froid du verre, n.d.a.")</f>
        <v xml:space="preserve">   Parties et accessoires pour machines-outils pour le travail de la pierre, des produits céramiques, du béton, etc., y.c. le travail à froid du verre, n.d.a.</v>
      </c>
      <c r="C5393">
        <v>354310</v>
      </c>
      <c r="D5393">
        <v>3.11</v>
      </c>
    </row>
    <row r="5394" spans="1:4" x14ac:dyDescent="0.25">
      <c r="A5394" t="str">
        <f>T("   846692")</f>
        <v xml:space="preserve">   846692</v>
      </c>
      <c r="B5394" t="str">
        <f>T("   Parties et accessoires pour machines-outils pour le travail du bois, des matières plastiques dures, etc., n.d.a.")</f>
        <v xml:space="preserve">   Parties et accessoires pour machines-outils pour le travail du bois, des matières plastiques dures, etc., n.d.a.</v>
      </c>
      <c r="C5394">
        <v>1097295</v>
      </c>
      <c r="D5394">
        <v>25</v>
      </c>
    </row>
    <row r="5395" spans="1:4" x14ac:dyDescent="0.25">
      <c r="A5395" t="str">
        <f>T("   846693")</f>
        <v xml:space="preserve">   846693</v>
      </c>
      <c r="B5395" t="str">
        <f>T("   Parties et accessoires pour machines-outils pour le travail du métal avec enlèvement de métal, n.d.a.")</f>
        <v xml:space="preserve">   Parties et accessoires pour machines-outils pour le travail du métal avec enlèvement de métal, n.d.a.</v>
      </c>
      <c r="C5395">
        <v>7927310</v>
      </c>
      <c r="D5395">
        <v>2356.2800000000002</v>
      </c>
    </row>
    <row r="5396" spans="1:4" x14ac:dyDescent="0.25">
      <c r="A5396" t="str">
        <f>T("   846694")</f>
        <v xml:space="preserve">   846694</v>
      </c>
      <c r="B5396" t="str">
        <f>T("   Parties et accessoires pour machines-outils pour le travail du métal avec enlèvement de matière, n.d.a.")</f>
        <v xml:space="preserve">   Parties et accessoires pour machines-outils pour le travail du métal avec enlèvement de matière, n.d.a.</v>
      </c>
      <c r="C5396">
        <v>4199692</v>
      </c>
      <c r="D5396">
        <v>207</v>
      </c>
    </row>
    <row r="5397" spans="1:4" x14ac:dyDescent="0.25">
      <c r="A5397" t="str">
        <f>T("   846719")</f>
        <v xml:space="preserve">   846719</v>
      </c>
      <c r="B5397" t="str">
        <f>T("   OUTILS PNEUMATIQUES, POUR EMPLOI À LA MAIN (À L'EXCL. DES OUTILS ROTATIFS) [01/01/1988-31/12/1994: OUTILS PNEUMATIQUES POUR EMPLOI A LA MAIN, AUTRES QUE ROTATIFS]")</f>
        <v xml:space="preserve">   OUTILS PNEUMATIQUES, POUR EMPLOI À LA MAIN (À L'EXCL. DES OUTILS ROTATIFS) [01/01/1988-31/12/1994: OUTILS PNEUMATIQUES POUR EMPLOI A LA MAIN, AUTRES QUE ROTATIFS]</v>
      </c>
      <c r="C5397">
        <v>14392419</v>
      </c>
      <c r="D5397">
        <v>2046</v>
      </c>
    </row>
    <row r="5398" spans="1:4" x14ac:dyDescent="0.25">
      <c r="A5398" t="str">
        <f>T("   846721")</f>
        <v xml:space="preserve">   846721</v>
      </c>
      <c r="B5398" t="str">
        <f>T("   Perceuses à moteur électrique incorporé, pour emploi à la main, y.c. les perforatrices rotatives")</f>
        <v xml:space="preserve">   Perceuses à moteur électrique incorporé, pour emploi à la main, y.c. les perforatrices rotatives</v>
      </c>
      <c r="C5398">
        <v>3427392</v>
      </c>
      <c r="D5398">
        <v>840</v>
      </c>
    </row>
    <row r="5399" spans="1:4" x14ac:dyDescent="0.25">
      <c r="A5399" t="str">
        <f>T("   846722")</f>
        <v xml:space="preserve">   846722</v>
      </c>
      <c r="B5399" t="str">
        <f>T("   Scies et tronçonneuses, à moteur électrique incorporé, pour emploi à la main")</f>
        <v xml:space="preserve">   Scies et tronçonneuses, à moteur électrique incorporé, pour emploi à la main</v>
      </c>
      <c r="C5399">
        <v>555598</v>
      </c>
      <c r="D5399">
        <v>871</v>
      </c>
    </row>
    <row r="5400" spans="1:4" x14ac:dyDescent="0.25">
      <c r="A5400" t="str">
        <f>T("   846729")</f>
        <v xml:space="preserve">   846729</v>
      </c>
      <c r="B5400" t="str">
        <f>T("   Outils électromécaniques à moteur électrique incorporé, pour emploi à la main (autres que scies et perceuses)")</f>
        <v xml:space="preserve">   Outils électromécaniques à moteur électrique incorporé, pour emploi à la main (autres que scies et perceuses)</v>
      </c>
      <c r="C5400">
        <v>11031935</v>
      </c>
      <c r="D5400">
        <v>1284</v>
      </c>
    </row>
    <row r="5401" spans="1:4" x14ac:dyDescent="0.25">
      <c r="A5401" t="str">
        <f>T("   846781")</f>
        <v xml:space="preserve">   846781</v>
      </c>
      <c r="B5401" t="str">
        <f>T("   Tronçonneuses à chaîne pour emploi à la main, à moteur non électrique incorporé")</f>
        <v xml:space="preserve">   Tronçonneuses à chaîne pour emploi à la main, à moteur non électrique incorporé</v>
      </c>
      <c r="C5401">
        <v>116339</v>
      </c>
      <c r="D5401">
        <v>559</v>
      </c>
    </row>
    <row r="5402" spans="1:4" x14ac:dyDescent="0.25">
      <c r="A5402" t="str">
        <f>T("   846789")</f>
        <v xml:space="preserve">   846789</v>
      </c>
      <c r="B5402" t="str">
        <f>T("   Outils pour emploi à la main, hydrauliques ou à moteur non électrique incorporé (sauf tronçonneuses à chaîne et outils pneumatiques)")</f>
        <v xml:space="preserve">   Outils pour emploi à la main, hydrauliques ou à moteur non électrique incorporé (sauf tronçonneuses à chaîne et outils pneumatiques)</v>
      </c>
      <c r="C5402">
        <v>926216</v>
      </c>
      <c r="D5402">
        <v>187</v>
      </c>
    </row>
    <row r="5403" spans="1:4" x14ac:dyDescent="0.25">
      <c r="A5403" t="str">
        <f>T("   846791")</f>
        <v xml:space="preserve">   846791</v>
      </c>
      <c r="B5403" t="str">
        <f>T("   Parties de tronçonneuses à chaîne pour emploi à la main, à moteur électrique ou non électrique incorporé, n.d.a.")</f>
        <v xml:space="preserve">   Parties de tronçonneuses à chaîne pour emploi à la main, à moteur électrique ou non électrique incorporé, n.d.a.</v>
      </c>
      <c r="C5403">
        <v>104029</v>
      </c>
      <c r="D5403">
        <v>0.5</v>
      </c>
    </row>
    <row r="5404" spans="1:4" x14ac:dyDescent="0.25">
      <c r="A5404" t="str">
        <f>T("   846792")</f>
        <v xml:space="preserve">   846792</v>
      </c>
      <c r="B5404" t="str">
        <f>T("   Parties d'outils pneumatiques pour emploi à la main, n.d.a.")</f>
        <v xml:space="preserve">   Parties d'outils pneumatiques pour emploi à la main, n.d.a.</v>
      </c>
      <c r="C5404">
        <v>2282741</v>
      </c>
      <c r="D5404">
        <v>869</v>
      </c>
    </row>
    <row r="5405" spans="1:4" x14ac:dyDescent="0.25">
      <c r="A5405" t="str">
        <f>T("   846799")</f>
        <v xml:space="preserve">   846799</v>
      </c>
      <c r="B5405" t="str">
        <f>T("   Parties d'outils pour emploi à la main, hydrauliques ou à moteur électrique ou non électrique incorporé, n.d.a.")</f>
        <v xml:space="preserve">   Parties d'outils pour emploi à la main, hydrauliques ou à moteur électrique ou non électrique incorporé, n.d.a.</v>
      </c>
      <c r="C5405">
        <v>8538631</v>
      </c>
      <c r="D5405">
        <v>782</v>
      </c>
    </row>
    <row r="5406" spans="1:4" x14ac:dyDescent="0.25">
      <c r="A5406" t="str">
        <f>T("   846810")</f>
        <v xml:space="preserve">   846810</v>
      </c>
      <c r="B5406" t="str">
        <f>T("   Chalumeaux guidés à la main pour le brasage ou le soudage aux gaz")</f>
        <v xml:space="preserve">   Chalumeaux guidés à la main pour le brasage ou le soudage aux gaz</v>
      </c>
      <c r="C5406">
        <v>383933</v>
      </c>
      <c r="D5406">
        <v>27</v>
      </c>
    </row>
    <row r="5407" spans="1:4" x14ac:dyDescent="0.25">
      <c r="A5407" t="str">
        <f>T("   846880")</f>
        <v xml:space="preserve">   846880</v>
      </c>
      <c r="B5407" t="str">
        <f>T("   Machines et appareils pour le brasage ou le soudage (autres qu'aux gaz et à l'excl. des machines ou appareils pour le brasage ou le soudage électriques du n° 8515)")</f>
        <v xml:space="preserve">   Machines et appareils pour le brasage ou le soudage (autres qu'aux gaz et à l'excl. des machines ou appareils pour le brasage ou le soudage électriques du n° 8515)</v>
      </c>
      <c r="C5407">
        <v>3617401</v>
      </c>
      <c r="D5407">
        <v>281</v>
      </c>
    </row>
    <row r="5408" spans="1:4" x14ac:dyDescent="0.25">
      <c r="A5408" t="str">
        <f>T("   846890")</f>
        <v xml:space="preserve">   846890</v>
      </c>
      <c r="B5408" t="str">
        <f>T("   Parties de machines et appareils pour le brasage, le soudage, la trempe artificielle non-électriques, n.d.a.")</f>
        <v xml:space="preserve">   Parties de machines et appareils pour le brasage, le soudage, la trempe artificielle non-électriques, n.d.a.</v>
      </c>
      <c r="C5408">
        <v>21304289</v>
      </c>
      <c r="D5408">
        <v>3534</v>
      </c>
    </row>
    <row r="5409" spans="1:4" x14ac:dyDescent="0.25">
      <c r="A5409" t="str">
        <f>T("   846920")</f>
        <v xml:space="preserve">   846920</v>
      </c>
      <c r="B5409" t="str">
        <f>T("   Machines à écrire électriques (à l'excl. des machines à écrire automatiques, des unités pour machines automatiques de traitement de l'information du n° 8471, ainsi que des imprimantes au laser, thermiques ou électrosensibles)")</f>
        <v xml:space="preserve">   Machines à écrire électriques (à l'excl. des machines à écrire automatiques, des unités pour machines automatiques de traitement de l'information du n° 8471, ainsi que des imprimantes au laser, thermiques ou électrosensibles)</v>
      </c>
      <c r="C5409">
        <v>5349354</v>
      </c>
      <c r="D5409">
        <v>629</v>
      </c>
    </row>
    <row r="5410" spans="1:4" x14ac:dyDescent="0.25">
      <c r="A5410" t="str">
        <f>T("   846930")</f>
        <v xml:space="preserve">   846930</v>
      </c>
      <c r="B5410" t="str">
        <f>T("   Machines à écrire non-électriques")</f>
        <v xml:space="preserve">   Machines à écrire non-électriques</v>
      </c>
      <c r="C5410">
        <v>26894</v>
      </c>
      <c r="D5410">
        <v>4</v>
      </c>
    </row>
    <row r="5411" spans="1:4" x14ac:dyDescent="0.25">
      <c r="A5411" t="str">
        <f>T("   847010")</f>
        <v xml:space="preserve">   847010</v>
      </c>
      <c r="B5411" t="s">
        <v>435</v>
      </c>
      <c r="C5411">
        <v>21653240</v>
      </c>
      <c r="D5411">
        <v>2581.34</v>
      </c>
    </row>
    <row r="5412" spans="1:4" x14ac:dyDescent="0.25">
      <c r="A5412" t="str">
        <f>T("   847030")</f>
        <v xml:space="preserve">   847030</v>
      </c>
      <c r="B5412" t="str">
        <f>T("   Machines à calculer autres qu'électroniques")</f>
        <v xml:space="preserve">   Machines à calculer autres qu'électroniques</v>
      </c>
      <c r="C5412">
        <v>670208</v>
      </c>
      <c r="D5412">
        <v>129</v>
      </c>
    </row>
    <row r="5413" spans="1:4" x14ac:dyDescent="0.25">
      <c r="A5413" t="str">
        <f>T("   847040")</f>
        <v xml:space="preserve">   847040</v>
      </c>
      <c r="B5413" t="str">
        <f>T("   Machines comptables comportant un dispositif de calcul (à l'excl. des machines automatiques de traitement de l'information du n° 8471)")</f>
        <v xml:space="preserve">   Machines comptables comportant un dispositif de calcul (à l'excl. des machines automatiques de traitement de l'information du n° 8471)</v>
      </c>
      <c r="C5413">
        <v>274000</v>
      </c>
      <c r="D5413">
        <v>194</v>
      </c>
    </row>
    <row r="5414" spans="1:4" x14ac:dyDescent="0.25">
      <c r="A5414" t="str">
        <f>T("   847050")</f>
        <v xml:space="preserve">   847050</v>
      </c>
      <c r="B5414" t="str">
        <f>T("   Caisses enregistreuses comportant un dispositif de calcul")</f>
        <v xml:space="preserve">   Caisses enregistreuses comportant un dispositif de calcul</v>
      </c>
      <c r="C5414">
        <v>2408685</v>
      </c>
      <c r="D5414">
        <v>21</v>
      </c>
    </row>
    <row r="5415" spans="1:4" x14ac:dyDescent="0.25">
      <c r="A5415" t="str">
        <f>T("   847090")</f>
        <v xml:space="preserve">   847090</v>
      </c>
      <c r="B5415" t="str">
        <f>T("   Machines à affranchir, à établir les tickets et simil., avec dispositif de calcul (à l'excl. des machines comptables, des caisses enregistreuses et des distributeurs automatiques)")</f>
        <v xml:space="preserve">   Machines à affranchir, à établir les tickets et simil., avec dispositif de calcul (à l'excl. des machines comptables, des caisses enregistreuses et des distributeurs automatiques)</v>
      </c>
      <c r="C5415">
        <v>732707</v>
      </c>
      <c r="D5415">
        <v>10</v>
      </c>
    </row>
    <row r="5416" spans="1:4" x14ac:dyDescent="0.25">
      <c r="A5416" t="str">
        <f>T("   847110")</f>
        <v xml:space="preserve">   847110</v>
      </c>
      <c r="B5416" t="str">
        <f>T("   Machines automatiques de traitement de l'information, analogiques ou hybrides")</f>
        <v xml:space="preserve">   Machines automatiques de traitement de l'information, analogiques ou hybrides</v>
      </c>
      <c r="C5416">
        <v>43062613</v>
      </c>
      <c r="D5416">
        <v>25200</v>
      </c>
    </row>
    <row r="5417" spans="1:4" x14ac:dyDescent="0.25">
      <c r="A5417" t="str">
        <f>T("   847130")</f>
        <v xml:space="preserve">   847130</v>
      </c>
      <c r="B5417" t="str">
        <f>T("   Machines automatiques de traitement de l'information numériques, portatives, d'un poids &lt;= 10 kg, comportant au moins une unité centrale de traitement, un clavier et un écran (à l'excl. des unités périphériques)")</f>
        <v xml:space="preserve">   Machines automatiques de traitement de l'information numériques, portatives, d'un poids &lt;= 10 kg, comportant au moins une unité centrale de traitement, un clavier et un écran (à l'excl. des unités périphériques)</v>
      </c>
      <c r="C5417">
        <v>40885489</v>
      </c>
      <c r="D5417">
        <v>6643</v>
      </c>
    </row>
    <row r="5418" spans="1:4" x14ac:dyDescent="0.25">
      <c r="A5418" t="str">
        <f>T("   847141")</f>
        <v xml:space="preserve">   847141</v>
      </c>
      <c r="B5418" t="s">
        <v>436</v>
      </c>
      <c r="C5418">
        <v>241246473</v>
      </c>
      <c r="D5418">
        <v>30864</v>
      </c>
    </row>
    <row r="5419" spans="1:4" x14ac:dyDescent="0.25">
      <c r="A5419" t="str">
        <f>T("   847149")</f>
        <v xml:space="preserve">   847149</v>
      </c>
      <c r="B5419" t="s">
        <v>437</v>
      </c>
      <c r="C5419">
        <v>435103921</v>
      </c>
      <c r="D5419">
        <v>60108</v>
      </c>
    </row>
    <row r="5420" spans="1:4" x14ac:dyDescent="0.25">
      <c r="A5420" t="str">
        <f>T("   847150")</f>
        <v xml:space="preserve">   847150</v>
      </c>
      <c r="B5420" t="s">
        <v>438</v>
      </c>
      <c r="C5420">
        <v>38957256</v>
      </c>
      <c r="D5420">
        <v>589.52</v>
      </c>
    </row>
    <row r="5421" spans="1:4" x14ac:dyDescent="0.25">
      <c r="A5421" t="str">
        <f>T("   847160")</f>
        <v xml:space="preserve">   847160</v>
      </c>
      <c r="B5421" t="str">
        <f>T("   UNITÉS D'ENTRÉE OU DE SORTIE POUR MACHINES AUTOMATIQUES DE TRAITEMENT DE L'INFORMATION, POUVANT COMPORTER, SOUS LA MÊME ENVELOPPE, DES UNITÉS DE MÉMOIRE")</f>
        <v xml:space="preserve">   UNITÉS D'ENTRÉE OU DE SORTIE POUR MACHINES AUTOMATIQUES DE TRAITEMENT DE L'INFORMATION, POUVANT COMPORTER, SOUS LA MÊME ENVELOPPE, DES UNITÉS DE MÉMOIRE</v>
      </c>
      <c r="C5421">
        <v>19436220</v>
      </c>
      <c r="D5421">
        <v>835</v>
      </c>
    </row>
    <row r="5422" spans="1:4" x14ac:dyDescent="0.25">
      <c r="A5422" t="str">
        <f>T("   847170")</f>
        <v xml:space="preserve">   847170</v>
      </c>
      <c r="B5422" t="str">
        <f>T("   UNITÉS DE MÉMOIRE POUR MACHINES AUTOMATIQUES DE TRAITEMENT DE L'INFORMATION")</f>
        <v xml:space="preserve">   UNITÉS DE MÉMOIRE POUR MACHINES AUTOMATIQUES DE TRAITEMENT DE L'INFORMATION</v>
      </c>
      <c r="C5422">
        <v>5115832</v>
      </c>
      <c r="D5422">
        <v>218</v>
      </c>
    </row>
    <row r="5423" spans="1:4" x14ac:dyDescent="0.25">
      <c r="A5423" t="str">
        <f>T("   847180")</f>
        <v xml:space="preserve">   847180</v>
      </c>
      <c r="B5423"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5423">
        <v>884749319</v>
      </c>
      <c r="D5423">
        <v>133156.84</v>
      </c>
    </row>
    <row r="5424" spans="1:4" x14ac:dyDescent="0.25">
      <c r="A5424" t="str">
        <f>T("   847190")</f>
        <v xml:space="preserve">   847190</v>
      </c>
      <c r="B5424"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5424">
        <v>977191833</v>
      </c>
      <c r="D5424">
        <v>114655.1</v>
      </c>
    </row>
    <row r="5425" spans="1:4" x14ac:dyDescent="0.25">
      <c r="A5425" t="str">
        <f>T("   847210")</f>
        <v xml:space="preserve">   847210</v>
      </c>
      <c r="B5425" t="str">
        <f>T("   Duplicateurs hectographiques ou à stencils (sauf imprimantes, photocopieuses et appareils à procédé thermique de reproduction)")</f>
        <v xml:space="preserve">   Duplicateurs hectographiques ou à stencils (sauf imprimantes, photocopieuses et appareils à procédé thermique de reproduction)</v>
      </c>
      <c r="C5425">
        <v>43949</v>
      </c>
      <c r="D5425">
        <v>29</v>
      </c>
    </row>
    <row r="5426" spans="1:4" x14ac:dyDescent="0.25">
      <c r="A5426" t="str">
        <f>T("   847230")</f>
        <v xml:space="preserve">   847230</v>
      </c>
      <c r="B5426" t="str">
        <f>T("   Machines pour le triage, le pliage, la mise sous enveloppe ou sous bande de courrier, machines à ouvrir, fermer ou sceller la correspondance et machines à apposer ou à oblitérer les timbres")</f>
        <v xml:space="preserve">   Machines pour le triage, le pliage, la mise sous enveloppe ou sous bande de courrier, machines à ouvrir, fermer ou sceller la correspondance et machines à apposer ou à oblitérer les timbres</v>
      </c>
      <c r="C5426">
        <v>2373611</v>
      </c>
      <c r="D5426">
        <v>1500</v>
      </c>
    </row>
    <row r="5427" spans="1:4" x14ac:dyDescent="0.25">
      <c r="A5427" t="str">
        <f>T("   847290")</f>
        <v xml:space="preserve">   847290</v>
      </c>
      <c r="B5427" t="str">
        <f>T("   Machines et appareils de bureau, n.d.a.")</f>
        <v xml:space="preserve">   Machines et appareils de bureau, n.d.a.</v>
      </c>
      <c r="C5427">
        <v>97714910</v>
      </c>
      <c r="D5427">
        <v>42565</v>
      </c>
    </row>
    <row r="5428" spans="1:4" x14ac:dyDescent="0.25">
      <c r="A5428" t="str">
        <f>T("   847329")</f>
        <v xml:space="preserve">   847329</v>
      </c>
      <c r="B5428" t="str">
        <f>T("   Parties et accessoires pour machines à calculer non-électroniques, machines comptables, caisses enregistreuses ou pour autres machines à dispositif de calcul du n° 8470, n.d.a.")</f>
        <v xml:space="preserve">   Parties et accessoires pour machines à calculer non-électroniques, machines comptables, caisses enregistreuses ou pour autres machines à dispositif de calcul du n° 8470, n.d.a.</v>
      </c>
      <c r="C5428">
        <v>3280</v>
      </c>
      <c r="D5428">
        <v>427</v>
      </c>
    </row>
    <row r="5429" spans="1:4" x14ac:dyDescent="0.25">
      <c r="A5429" t="str">
        <f>T("   847330")</f>
        <v xml:space="preserve">   847330</v>
      </c>
      <c r="B5429" t="str">
        <f>T("   Parties et accessoires pour machines automatiques de traitement de l'information ou pour autres machines du n° 8471, n.d.a.")</f>
        <v xml:space="preserve">   Parties et accessoires pour machines automatiques de traitement de l'information ou pour autres machines du n° 8471, n.d.a.</v>
      </c>
      <c r="C5429">
        <v>61739575</v>
      </c>
      <c r="D5429">
        <v>1079.47</v>
      </c>
    </row>
    <row r="5430" spans="1:4" x14ac:dyDescent="0.25">
      <c r="A5430" t="str">
        <f>T("   847340")</f>
        <v xml:space="preserve">   847340</v>
      </c>
      <c r="B5430" t="str">
        <f>T("   Parties et accessoires pour autres machines et appareils de bureau du n° 8472, n.d.a.")</f>
        <v xml:space="preserve">   Parties et accessoires pour autres machines et appareils de bureau du n° 8472, n.d.a.</v>
      </c>
      <c r="C5430">
        <v>848103</v>
      </c>
      <c r="D5430">
        <v>54</v>
      </c>
    </row>
    <row r="5431" spans="1:4" x14ac:dyDescent="0.25">
      <c r="A5431" t="str">
        <f>T("   847350")</f>
        <v xml:space="preserve">   847350</v>
      </c>
      <c r="B5431" t="str">
        <f>T("   Parties et accessoires qui peuvent être utilisés indifféremment avec les machines ou appareils de plusieurs du n° 8469 à 8472, n.d.a.")</f>
        <v xml:space="preserve">   Parties et accessoires qui peuvent être utilisés indifféremment avec les machines ou appareils de plusieurs du n° 8469 à 8472, n.d.a.</v>
      </c>
      <c r="C5431">
        <v>9190841</v>
      </c>
      <c r="D5431">
        <v>698</v>
      </c>
    </row>
    <row r="5432" spans="1:4" x14ac:dyDescent="0.25">
      <c r="A5432" t="str">
        <f>T("   847410")</f>
        <v xml:space="preserve">   847410</v>
      </c>
      <c r="B5432" t="str">
        <f>T("   Machines et appareils à trier, cribler, séparer ou laver les matières minérales solides, y.c. -les poudres et les pâtes- (à l'excl. des centrifugeuses et des filtres-presses)")</f>
        <v xml:space="preserve">   Machines et appareils à trier, cribler, séparer ou laver les matières minérales solides, y.c. -les poudres et les pâtes- (à l'excl. des centrifugeuses et des filtres-presses)</v>
      </c>
      <c r="C5432">
        <v>450000</v>
      </c>
      <c r="D5432">
        <v>78</v>
      </c>
    </row>
    <row r="5433" spans="1:4" x14ac:dyDescent="0.25">
      <c r="A5433" t="str">
        <f>T("   847431")</f>
        <v xml:space="preserve">   847431</v>
      </c>
      <c r="B5433" t="str">
        <f>T("   Bétonnières et appareils à gâcher le ciment (sauf montés sur wagons de chemins de fer ou sur châssis de véhicules automobiles)")</f>
        <v xml:space="preserve">   Bétonnières et appareils à gâcher le ciment (sauf montés sur wagons de chemins de fer ou sur châssis de véhicules automobiles)</v>
      </c>
      <c r="C5433">
        <v>35782494</v>
      </c>
      <c r="D5433">
        <v>36019</v>
      </c>
    </row>
    <row r="5434" spans="1:4" x14ac:dyDescent="0.25">
      <c r="A5434" t="str">
        <f>T("   847480")</f>
        <v xml:space="preserve">   847480</v>
      </c>
      <c r="B5434" t="s">
        <v>440</v>
      </c>
      <c r="C5434">
        <v>20759927</v>
      </c>
      <c r="D5434">
        <v>3061</v>
      </c>
    </row>
    <row r="5435" spans="1:4" x14ac:dyDescent="0.25">
      <c r="A5435" t="str">
        <f>T("   847490")</f>
        <v xml:space="preserve">   847490</v>
      </c>
      <c r="B5435" t="str">
        <f>T("   Parties des machines et appareils pour le travail des matières minérales du n° 8474, n.d.a.")</f>
        <v xml:space="preserve">   Parties des machines et appareils pour le travail des matières minérales du n° 8474, n.d.a.</v>
      </c>
      <c r="C5435">
        <v>209164579</v>
      </c>
      <c r="D5435">
        <v>35761</v>
      </c>
    </row>
    <row r="5436" spans="1:4" x14ac:dyDescent="0.25">
      <c r="A5436" t="str">
        <f>T("   847690")</f>
        <v xml:space="preserve">   847690</v>
      </c>
      <c r="B5436" t="str">
        <f>T("   Parties des machines automatiques de vente de produits, y.c. les machines automatiques pour changer la monnaie, n.d.a.")</f>
        <v xml:space="preserve">   Parties des machines automatiques de vente de produits, y.c. les machines automatiques pour changer la monnaie, n.d.a.</v>
      </c>
      <c r="C5436">
        <v>729852</v>
      </c>
      <c r="D5436">
        <v>4</v>
      </c>
    </row>
    <row r="5437" spans="1:4" x14ac:dyDescent="0.25">
      <c r="A5437" t="str">
        <f>T("   847720")</f>
        <v xml:space="preserve">   847720</v>
      </c>
      <c r="B5437" t="str">
        <f>T("   Extrudeuses pour le travail du caoutchouc ou des matières plastiques ou pour la fabrication de produits en ces matières")</f>
        <v xml:space="preserve">   Extrudeuses pour le travail du caoutchouc ou des matières plastiques ou pour la fabrication de produits en ces matières</v>
      </c>
      <c r="C5437">
        <v>34433964</v>
      </c>
      <c r="D5437">
        <v>5230</v>
      </c>
    </row>
    <row r="5438" spans="1:4" x14ac:dyDescent="0.25">
      <c r="A5438" t="str">
        <f>T("   847759")</f>
        <v xml:space="preserve">   847759</v>
      </c>
      <c r="B5438" t="s">
        <v>442</v>
      </c>
      <c r="C5438">
        <v>9711499</v>
      </c>
      <c r="D5438">
        <v>2357</v>
      </c>
    </row>
    <row r="5439" spans="1:4" x14ac:dyDescent="0.25">
      <c r="A5439" t="str">
        <f>T("   847780")</f>
        <v xml:space="preserve">   847780</v>
      </c>
      <c r="B5439" t="str">
        <f>T("   MACHINES ET APPAREILS POUR LE TRAVAIL DU CAOUTCHOUC OU DES MATIÈRES PLASTIQUES OU POUR LA FABRICATION DE PRODUITS EN CES MATIÈRES N.D.A. DANS LE CHAPITRE 84")</f>
        <v xml:space="preserve">   MACHINES ET APPAREILS POUR LE TRAVAIL DU CAOUTCHOUC OU DES MATIÈRES PLASTIQUES OU POUR LA FABRICATION DE PRODUITS EN CES MATIÈRES N.D.A. DANS LE CHAPITRE 84</v>
      </c>
      <c r="C5439">
        <v>25569321</v>
      </c>
      <c r="D5439">
        <v>752</v>
      </c>
    </row>
    <row r="5440" spans="1:4" x14ac:dyDescent="0.25">
      <c r="A5440" t="str">
        <f>T("   847810")</f>
        <v xml:space="preserve">   847810</v>
      </c>
      <c r="B5440" t="str">
        <f>T("   Machines et appareils pour la préparation ou la transformation du tabac (sauf appareils de séchage et autres appareils de traitement à chaud et sauf centrifugeuses et filtres-presses)")</f>
        <v xml:space="preserve">   Machines et appareils pour la préparation ou la transformation du tabac (sauf appareils de séchage et autres appareils de traitement à chaud et sauf centrifugeuses et filtres-presses)</v>
      </c>
      <c r="C5440">
        <v>95114</v>
      </c>
      <c r="D5440">
        <v>10</v>
      </c>
    </row>
    <row r="5441" spans="1:4" x14ac:dyDescent="0.25">
      <c r="A5441" t="str">
        <f>T("   847910")</f>
        <v xml:space="preserve">   847910</v>
      </c>
      <c r="B5441" t="str">
        <f>T("   Machines et appareils pour les travaux publics, le bâtiment ou les travaux analogues, n.d.a.")</f>
        <v xml:space="preserve">   Machines et appareils pour les travaux publics, le bâtiment ou les travaux analogues, n.d.a.</v>
      </c>
      <c r="C5441">
        <v>4222414</v>
      </c>
      <c r="D5441">
        <v>524</v>
      </c>
    </row>
    <row r="5442" spans="1:4" x14ac:dyDescent="0.25">
      <c r="A5442" t="str">
        <f>T("   847982")</f>
        <v xml:space="preserve">   847982</v>
      </c>
      <c r="B5442" t="str">
        <f>T("   Machines et appareils à mélanger, malaxer, concasser, broyer, cribler, tamiser, homogénéiser, émulsionner ou brasser, n.d.a. (à l'excl. des robots industriels)")</f>
        <v xml:space="preserve">   Machines et appareils à mélanger, malaxer, concasser, broyer, cribler, tamiser, homogénéiser, émulsionner ou brasser, n.d.a. (à l'excl. des robots industriels)</v>
      </c>
      <c r="C5442">
        <v>44448505</v>
      </c>
      <c r="D5442">
        <v>44184</v>
      </c>
    </row>
    <row r="5443" spans="1:4" x14ac:dyDescent="0.25">
      <c r="A5443" t="str">
        <f>T("   847989")</f>
        <v xml:space="preserve">   847989</v>
      </c>
      <c r="B5443" t="str">
        <f>T("   Machines et appareils, y.c. les appareils mécaniques, n.d.a.")</f>
        <v xml:space="preserve">   Machines et appareils, y.c. les appareils mécaniques, n.d.a.</v>
      </c>
      <c r="C5443">
        <v>90709208</v>
      </c>
      <c r="D5443">
        <v>17625</v>
      </c>
    </row>
    <row r="5444" spans="1:4" x14ac:dyDescent="0.25">
      <c r="A5444" t="str">
        <f>T("   847990")</f>
        <v xml:space="preserve">   847990</v>
      </c>
      <c r="B5444" t="str">
        <f>T("   Parties de machines et appareils, y.c. les appareils mécaniques, n.d.a.")</f>
        <v xml:space="preserve">   Parties de machines et appareils, y.c. les appareils mécaniques, n.d.a.</v>
      </c>
      <c r="C5444">
        <v>4274097</v>
      </c>
      <c r="D5444">
        <v>74.75</v>
      </c>
    </row>
    <row r="5445" spans="1:4" x14ac:dyDescent="0.25">
      <c r="A5445" t="str">
        <f>T("   848020")</f>
        <v xml:space="preserve">   848020</v>
      </c>
      <c r="B5445" t="s">
        <v>444</v>
      </c>
      <c r="C5445">
        <v>400136</v>
      </c>
      <c r="D5445">
        <v>14</v>
      </c>
    </row>
    <row r="5446" spans="1:4" x14ac:dyDescent="0.25">
      <c r="A5446" t="str">
        <f>T("   848060")</f>
        <v xml:space="preserve">   848060</v>
      </c>
      <c r="B5446" t="str">
        <f>T("   Moules pour les matières minérales (autres qu'en graphite ou autres formes de carbone, autres qu'en produits céramiques ou en verre)")</f>
        <v xml:space="preserve">   Moules pour les matières minérales (autres qu'en graphite ou autres formes de carbone, autres qu'en produits céramiques ou en verre)</v>
      </c>
      <c r="C5446">
        <v>800000</v>
      </c>
      <c r="D5446">
        <v>295</v>
      </c>
    </row>
    <row r="5447" spans="1:4" x14ac:dyDescent="0.25">
      <c r="A5447" t="str">
        <f>T("   848110")</f>
        <v xml:space="preserve">   848110</v>
      </c>
      <c r="B5447" t="str">
        <f>T("   Détendeurs")</f>
        <v xml:space="preserve">   Détendeurs</v>
      </c>
      <c r="C5447">
        <v>3515466</v>
      </c>
      <c r="D5447">
        <v>518</v>
      </c>
    </row>
    <row r="5448" spans="1:4" x14ac:dyDescent="0.25">
      <c r="A5448" t="str">
        <f>T("   848120")</f>
        <v xml:space="preserve">   848120</v>
      </c>
      <c r="B5448" t="str">
        <f>T("   Valves pour transmissions oléohydrauliques ou pneumatiques")</f>
        <v xml:space="preserve">   Valves pour transmissions oléohydrauliques ou pneumatiques</v>
      </c>
      <c r="C5448">
        <v>6588718</v>
      </c>
      <c r="D5448">
        <v>205.5</v>
      </c>
    </row>
    <row r="5449" spans="1:4" x14ac:dyDescent="0.25">
      <c r="A5449" t="str">
        <f>T("   848130")</f>
        <v xml:space="preserve">   848130</v>
      </c>
      <c r="B5449" t="str">
        <f>T("   Clapets et soupapes de retenue, pour tuyauteries, chaudières, réservoirs, cuves ou contenants simil.")</f>
        <v xml:space="preserve">   Clapets et soupapes de retenue, pour tuyauteries, chaudières, réservoirs, cuves ou contenants simil.</v>
      </c>
      <c r="C5449">
        <v>11595060</v>
      </c>
      <c r="D5449">
        <v>759</v>
      </c>
    </row>
    <row r="5450" spans="1:4" x14ac:dyDescent="0.25">
      <c r="A5450" t="str">
        <f>T("   848140")</f>
        <v xml:space="preserve">   848140</v>
      </c>
      <c r="B5450" t="str">
        <f>T("   Soupapes de trop-plein ou de sûreté")</f>
        <v xml:space="preserve">   Soupapes de trop-plein ou de sûreté</v>
      </c>
      <c r="C5450">
        <v>7301059</v>
      </c>
      <c r="D5450">
        <v>268</v>
      </c>
    </row>
    <row r="5451" spans="1:4" x14ac:dyDescent="0.25">
      <c r="A5451" t="str">
        <f>T("   848180")</f>
        <v xml:space="preserve">   848180</v>
      </c>
      <c r="B5451"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5451">
        <v>400154269</v>
      </c>
      <c r="D5451">
        <v>68570.399999999994</v>
      </c>
    </row>
    <row r="5452" spans="1:4" x14ac:dyDescent="0.25">
      <c r="A5452" t="str">
        <f>T("   848190")</f>
        <v xml:space="preserve">   848190</v>
      </c>
      <c r="B5452" t="str">
        <f>T("   Parties d'articles de robinetterie et organes simil. pour tuyauterie, etc., n.d.a.")</f>
        <v xml:space="preserve">   Parties d'articles de robinetterie et organes simil. pour tuyauterie, etc., n.d.a.</v>
      </c>
      <c r="C5452">
        <v>6513386</v>
      </c>
      <c r="D5452">
        <v>4424</v>
      </c>
    </row>
    <row r="5453" spans="1:4" x14ac:dyDescent="0.25">
      <c r="A5453" t="str">
        <f>T("   848210")</f>
        <v xml:space="preserve">   848210</v>
      </c>
      <c r="B5453" t="str">
        <f>T("   Roulements à billes")</f>
        <v xml:space="preserve">   Roulements à billes</v>
      </c>
      <c r="C5453">
        <v>53753417</v>
      </c>
      <c r="D5453">
        <v>4460</v>
      </c>
    </row>
    <row r="5454" spans="1:4" x14ac:dyDescent="0.25">
      <c r="A5454" t="str">
        <f>T("   848220")</f>
        <v xml:space="preserve">   848220</v>
      </c>
      <c r="B5454" t="str">
        <f>T("   Roulements à rouleaux coniques, y.c. les assemblages de cônes et rouleaux coniques")</f>
        <v xml:space="preserve">   Roulements à rouleaux coniques, y.c. les assemblages de cônes et rouleaux coniques</v>
      </c>
      <c r="C5454">
        <v>15830232</v>
      </c>
      <c r="D5454">
        <v>1022</v>
      </c>
    </row>
    <row r="5455" spans="1:4" x14ac:dyDescent="0.25">
      <c r="A5455" t="str">
        <f>T("   848230")</f>
        <v xml:space="preserve">   848230</v>
      </c>
      <c r="B5455" t="str">
        <f>T("   Roulements à rouleaux en forme de tonneau")</f>
        <v xml:space="preserve">   Roulements à rouleaux en forme de tonneau</v>
      </c>
      <c r="C5455">
        <v>12115586</v>
      </c>
      <c r="D5455">
        <v>1148</v>
      </c>
    </row>
    <row r="5456" spans="1:4" x14ac:dyDescent="0.25">
      <c r="A5456" t="str">
        <f>T("   848240")</f>
        <v xml:space="preserve">   848240</v>
      </c>
      <c r="B5456" t="str">
        <f>T("   Roulements à aiguilles")</f>
        <v xml:space="preserve">   Roulements à aiguilles</v>
      </c>
      <c r="C5456">
        <v>1355214</v>
      </c>
      <c r="D5456">
        <v>129</v>
      </c>
    </row>
    <row r="5457" spans="1:4" x14ac:dyDescent="0.25">
      <c r="A5457" t="str">
        <f>T("   848250")</f>
        <v xml:space="preserve">   848250</v>
      </c>
      <c r="B5457" t="str">
        <f>T("   Roulements à rouleaux cylindriques")</f>
        <v xml:space="preserve">   Roulements à rouleaux cylindriques</v>
      </c>
      <c r="C5457">
        <v>2976189</v>
      </c>
      <c r="D5457">
        <v>213</v>
      </c>
    </row>
    <row r="5458" spans="1:4" x14ac:dyDescent="0.25">
      <c r="A5458" t="str">
        <f>T("   848280")</f>
        <v xml:space="preserve">   848280</v>
      </c>
      <c r="B5458" t="s">
        <v>447</v>
      </c>
      <c r="C5458">
        <v>45185423</v>
      </c>
      <c r="D5458">
        <v>7686</v>
      </c>
    </row>
    <row r="5459" spans="1:4" x14ac:dyDescent="0.25">
      <c r="A5459" t="str">
        <f>T("   848291")</f>
        <v xml:space="preserve">   848291</v>
      </c>
      <c r="B5459" t="str">
        <f>T("   Billes, galets, rouleaux et aiguilles pour roulements (sauf billes en acier du n° 7326)")</f>
        <v xml:space="preserve">   Billes, galets, rouleaux et aiguilles pour roulements (sauf billes en acier du n° 7326)</v>
      </c>
      <c r="C5459">
        <v>84058926</v>
      </c>
      <c r="D5459">
        <v>2818</v>
      </c>
    </row>
    <row r="5460" spans="1:4" x14ac:dyDescent="0.25">
      <c r="A5460" t="str">
        <f>T("   848299")</f>
        <v xml:space="preserve">   848299</v>
      </c>
      <c r="B5460" t="str">
        <f>T("   Parties de roulements à billes, à galets, à rouleaux ou à aiguilles (à l'excl. de leur organe de roulement), n.d.a.")</f>
        <v xml:space="preserve">   Parties de roulements à billes, à galets, à rouleaux ou à aiguilles (à l'excl. de leur organe de roulement), n.d.a.</v>
      </c>
      <c r="C5460">
        <v>1498842</v>
      </c>
      <c r="D5460">
        <v>119</v>
      </c>
    </row>
    <row r="5461" spans="1:4" x14ac:dyDescent="0.25">
      <c r="A5461" t="str">
        <f>T("   848310")</f>
        <v xml:space="preserve">   848310</v>
      </c>
      <c r="B5461" t="str">
        <f>T("   Arbres de transmission pour machines, y.c. -les arbres à cames et les vilebrequins- et manivelles")</f>
        <v xml:space="preserve">   Arbres de transmission pour machines, y.c. -les arbres à cames et les vilebrequins- et manivelles</v>
      </c>
      <c r="C5461">
        <v>44538923</v>
      </c>
      <c r="D5461">
        <v>5521</v>
      </c>
    </row>
    <row r="5462" spans="1:4" x14ac:dyDescent="0.25">
      <c r="A5462" t="str">
        <f>T("   848320")</f>
        <v xml:space="preserve">   848320</v>
      </c>
      <c r="B5462" t="str">
        <f>T("   Paliers à roulements incorporés, pour machines")</f>
        <v xml:space="preserve">   Paliers à roulements incorporés, pour machines</v>
      </c>
      <c r="C5462">
        <v>1499650</v>
      </c>
      <c r="D5462">
        <v>135</v>
      </c>
    </row>
    <row r="5463" spans="1:4" x14ac:dyDescent="0.25">
      <c r="A5463" t="str">
        <f>T("   848330")</f>
        <v xml:space="preserve">   848330</v>
      </c>
      <c r="B5463" t="str">
        <f>T("   Paliers pour machines, sans roulements incorporés; coussinets et coquilles de coussinets pour machines")</f>
        <v xml:space="preserve">   Paliers pour machines, sans roulements incorporés; coussinets et coquilles de coussinets pour machines</v>
      </c>
      <c r="C5463">
        <v>61908827</v>
      </c>
      <c r="D5463">
        <v>6451</v>
      </c>
    </row>
    <row r="5464" spans="1:4" x14ac:dyDescent="0.25">
      <c r="A5464" t="str">
        <f>T("   848340")</f>
        <v xml:space="preserve">   848340</v>
      </c>
      <c r="B5464" t="s">
        <v>448</v>
      </c>
      <c r="C5464">
        <v>42497224</v>
      </c>
      <c r="D5464">
        <v>7768</v>
      </c>
    </row>
    <row r="5465" spans="1:4" x14ac:dyDescent="0.25">
      <c r="A5465" t="str">
        <f>T("   848350")</f>
        <v xml:space="preserve">   848350</v>
      </c>
      <c r="B5465" t="str">
        <f>T("   Volants et poulies, y.c. les poulies à moufles")</f>
        <v xml:space="preserve">   Volants et poulies, y.c. les poulies à moufles</v>
      </c>
      <c r="C5465">
        <v>5764544</v>
      </c>
      <c r="D5465">
        <v>402</v>
      </c>
    </row>
    <row r="5466" spans="1:4" x14ac:dyDescent="0.25">
      <c r="A5466" t="str">
        <f>T("   848360")</f>
        <v xml:space="preserve">   848360</v>
      </c>
      <c r="B5466" t="str">
        <f>T("   Embrayages et organes d'accouplement, y.c. les joints d'articulation, pour machines")</f>
        <v xml:space="preserve">   Embrayages et organes d'accouplement, y.c. les joints d'articulation, pour machines</v>
      </c>
      <c r="C5466">
        <v>17876753</v>
      </c>
      <c r="D5466">
        <v>1452.5</v>
      </c>
    </row>
    <row r="5467" spans="1:4" x14ac:dyDescent="0.25">
      <c r="A5467" t="str">
        <f>T("   848390")</f>
        <v xml:space="preserve">   848390</v>
      </c>
      <c r="B5467" t="str">
        <f>T("   Roues dentées et autres organes élémentaires de transmission présentés séparément; parties d'organes mécaniques, d'organes de transmission, d'engrenages, de variateurs de vitesses, d'organes d'accouplement et d'autres organes du n° 8483, n.d.a.")</f>
        <v xml:space="preserve">   Roues dentées et autres organes élémentaires de transmission présentés séparément; parties d'organes mécaniques, d'organes de transmission, d'engrenages, de variateurs de vitesses, d'organes d'accouplement et d'autres organes du n° 8483, n.d.a.</v>
      </c>
      <c r="C5467">
        <v>29087108</v>
      </c>
      <c r="D5467">
        <v>1309</v>
      </c>
    </row>
    <row r="5468" spans="1:4" x14ac:dyDescent="0.25">
      <c r="A5468" t="str">
        <f>T("   848410")</f>
        <v xml:space="preserve">   848410</v>
      </c>
      <c r="B5468" t="str">
        <f>T("   Joints métalloplastiques")</f>
        <v xml:space="preserve">   Joints métalloplastiques</v>
      </c>
      <c r="C5468">
        <v>2571600</v>
      </c>
      <c r="D5468">
        <v>452</v>
      </c>
    </row>
    <row r="5469" spans="1:4" x14ac:dyDescent="0.25">
      <c r="A5469" t="str">
        <f>T("   848420")</f>
        <v xml:space="preserve">   848420</v>
      </c>
      <c r="B5469" t="str">
        <f>T("   Joints d'étanchéité mécaniques")</f>
        <v xml:space="preserve">   Joints d'étanchéité mécaniques</v>
      </c>
      <c r="C5469">
        <v>3370520</v>
      </c>
      <c r="D5469">
        <v>528</v>
      </c>
    </row>
    <row r="5470" spans="1:4" x14ac:dyDescent="0.25">
      <c r="A5470" t="str">
        <f>T("   848490")</f>
        <v xml:space="preserve">   848490</v>
      </c>
      <c r="B5470" t="str">
        <f>T("   Jeux ou assortiments de joints de composition différente présentés en pochettes, enveloppes ou emballages analogues")</f>
        <v xml:space="preserve">   Jeux ou assortiments de joints de composition différente présentés en pochettes, enveloppes ou emballages analogues</v>
      </c>
      <c r="C5470">
        <v>134497527</v>
      </c>
      <c r="D5470">
        <v>10939.75</v>
      </c>
    </row>
    <row r="5471" spans="1:4" x14ac:dyDescent="0.25">
      <c r="A5471" t="str">
        <f>T("   848590")</f>
        <v xml:space="preserve">   848590</v>
      </c>
      <c r="B5471" t="str">
        <f>T("   Parties de machines et appareils du chapitre 84, sans caractéristiques spéciales d'utilisation, n.d.a.")</f>
        <v xml:space="preserve">   Parties de machines et appareils du chapitre 84, sans caractéristiques spéciales d'utilisation, n.d.a.</v>
      </c>
      <c r="C5471">
        <v>579679</v>
      </c>
      <c r="D5471">
        <v>78.3</v>
      </c>
    </row>
    <row r="5472" spans="1:4" x14ac:dyDescent="0.25">
      <c r="A5472" t="str">
        <f>T("   850110")</f>
        <v xml:space="preserve">   850110</v>
      </c>
      <c r="B5472" t="str">
        <f>T("   Moteurs d'une puissance &lt;= 37,5 W")</f>
        <v xml:space="preserve">   Moteurs d'une puissance &lt;= 37,5 W</v>
      </c>
      <c r="C5472">
        <v>1426409</v>
      </c>
      <c r="D5472">
        <v>13</v>
      </c>
    </row>
    <row r="5473" spans="1:4" x14ac:dyDescent="0.25">
      <c r="A5473" t="str">
        <f>T("   850120")</f>
        <v xml:space="preserve">   850120</v>
      </c>
      <c r="B5473" t="str">
        <f>T("   Moteurs universels, puissance &gt; 37,5 W")</f>
        <v xml:space="preserve">   Moteurs universels, puissance &gt; 37,5 W</v>
      </c>
      <c r="C5473">
        <v>432934</v>
      </c>
      <c r="D5473">
        <v>9</v>
      </c>
    </row>
    <row r="5474" spans="1:4" x14ac:dyDescent="0.25">
      <c r="A5474" t="str">
        <f>T("   850131")</f>
        <v xml:space="preserve">   850131</v>
      </c>
      <c r="B5474" t="str">
        <f>T("   Moteurs à courant continu, puissance &lt;= 750 W mais &gt; 37,5 W et génératrices à courant continu, puissance &lt;= 750 W")</f>
        <v xml:space="preserve">   Moteurs à courant continu, puissance &lt;= 750 W mais &gt; 37,5 W et génératrices à courant continu, puissance &lt;= 750 W</v>
      </c>
      <c r="C5474">
        <v>1030014</v>
      </c>
      <c r="D5474">
        <v>76</v>
      </c>
    </row>
    <row r="5475" spans="1:4" x14ac:dyDescent="0.25">
      <c r="A5475" t="str">
        <f>T("   850132")</f>
        <v xml:space="preserve">   850132</v>
      </c>
      <c r="B5475" t="str">
        <f>T("   Moteurs et génératrices à courant continu, puissance &gt; 750 W mais &lt;= 75 kW")</f>
        <v xml:space="preserve">   Moteurs et génératrices à courant continu, puissance &gt; 750 W mais &lt;= 75 kW</v>
      </c>
      <c r="C5475">
        <v>5007730</v>
      </c>
      <c r="D5475">
        <v>727</v>
      </c>
    </row>
    <row r="5476" spans="1:4" x14ac:dyDescent="0.25">
      <c r="A5476" t="str">
        <f>T("   850133")</f>
        <v xml:space="preserve">   850133</v>
      </c>
      <c r="B5476" t="str">
        <f>T("   Moteurs et génératrices à courant continu, puissance &gt; 75 kW mais &lt;= 375 kW")</f>
        <v xml:space="preserve">   Moteurs et génératrices à courant continu, puissance &gt; 75 kW mais &lt;= 375 kW</v>
      </c>
      <c r="C5476">
        <v>1545691</v>
      </c>
      <c r="D5476">
        <v>2600</v>
      </c>
    </row>
    <row r="5477" spans="1:4" x14ac:dyDescent="0.25">
      <c r="A5477" t="str">
        <f>T("   850140")</f>
        <v xml:space="preserve">   850140</v>
      </c>
      <c r="B5477" t="str">
        <f>T("   Moteurs à courant alternatif, monophasés")</f>
        <v xml:space="preserve">   Moteurs à courant alternatif, monophasés</v>
      </c>
      <c r="C5477">
        <v>767473</v>
      </c>
      <c r="D5477">
        <v>100</v>
      </c>
    </row>
    <row r="5478" spans="1:4" x14ac:dyDescent="0.25">
      <c r="A5478" t="str">
        <f>T("   850151")</f>
        <v xml:space="preserve">   850151</v>
      </c>
      <c r="B5478" t="str">
        <f>T("   Moteurs à courant alternatif, polyphasés, puissance &gt; 37,5 W mais &lt;= 750 W")</f>
        <v xml:space="preserve">   Moteurs à courant alternatif, polyphasés, puissance &gt; 37,5 W mais &lt;= 750 W</v>
      </c>
      <c r="C5478">
        <v>3060053</v>
      </c>
      <c r="D5478">
        <v>129</v>
      </c>
    </row>
    <row r="5479" spans="1:4" x14ac:dyDescent="0.25">
      <c r="A5479" t="str">
        <f>T("   850152")</f>
        <v xml:space="preserve">   850152</v>
      </c>
      <c r="B5479" t="str">
        <f>T("   Moteurs à courant alternatif, polyphasés, puissance &gt; 750 W mais &lt;= 75 kW")</f>
        <v xml:space="preserve">   Moteurs à courant alternatif, polyphasés, puissance &gt; 750 W mais &lt;= 75 kW</v>
      </c>
      <c r="C5479">
        <v>73703667</v>
      </c>
      <c r="D5479">
        <v>6189</v>
      </c>
    </row>
    <row r="5480" spans="1:4" x14ac:dyDescent="0.25">
      <c r="A5480" t="str">
        <f>T("   850162")</f>
        <v xml:space="preserve">   850162</v>
      </c>
      <c r="B5480" t="str">
        <f>T("   Alternateurs, puissance &gt; 75 kVA mais &lt;= 375 kVA")</f>
        <v xml:space="preserve">   Alternateurs, puissance &gt; 75 kVA mais &lt;= 375 kVA</v>
      </c>
      <c r="C5480">
        <v>2135806</v>
      </c>
      <c r="D5480">
        <v>20</v>
      </c>
    </row>
    <row r="5481" spans="1:4" x14ac:dyDescent="0.25">
      <c r="A5481" t="str">
        <f>T("   850164")</f>
        <v xml:space="preserve">   850164</v>
      </c>
      <c r="B5481" t="str">
        <f>T("   Alternateurs, puissance &gt; 750 kVA")</f>
        <v xml:space="preserve">   Alternateurs, puissance &gt; 750 kVA</v>
      </c>
      <c r="C5481">
        <v>2337842</v>
      </c>
      <c r="D5481">
        <v>379</v>
      </c>
    </row>
    <row r="5482" spans="1:4" x14ac:dyDescent="0.25">
      <c r="A5482" t="str">
        <f>T("   850211")</f>
        <v xml:space="preserve">   850211</v>
      </c>
      <c r="B5482" t="s">
        <v>449</v>
      </c>
      <c r="C5482">
        <v>1674184883</v>
      </c>
      <c r="D5482">
        <v>219974</v>
      </c>
    </row>
    <row r="5483" spans="1:4" x14ac:dyDescent="0.25">
      <c r="A5483" t="str">
        <f>T("   850212")</f>
        <v xml:space="preserve">   850212</v>
      </c>
      <c r="B5483"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5483">
        <v>273929012</v>
      </c>
      <c r="D5483">
        <v>46953</v>
      </c>
    </row>
    <row r="5484" spans="1:4" x14ac:dyDescent="0.25">
      <c r="A5484" t="str">
        <f>T("   850213")</f>
        <v xml:space="preserve">   850213</v>
      </c>
      <c r="B5484" t="s">
        <v>450</v>
      </c>
      <c r="C5484">
        <v>411172618</v>
      </c>
      <c r="D5484">
        <v>69833</v>
      </c>
    </row>
    <row r="5485" spans="1:4" x14ac:dyDescent="0.25">
      <c r="A5485" t="str">
        <f>T("   850220")</f>
        <v xml:space="preserve">   850220</v>
      </c>
      <c r="B5485" t="s">
        <v>451</v>
      </c>
      <c r="C5485">
        <v>40377191</v>
      </c>
      <c r="D5485">
        <v>9406</v>
      </c>
    </row>
    <row r="5486" spans="1:4" x14ac:dyDescent="0.25">
      <c r="A5486" t="str">
        <f>T("   850239")</f>
        <v xml:space="preserve">   850239</v>
      </c>
      <c r="B5486" t="str">
        <f>T("   Groupes électrogènes (autres qu'à énergie éolienne et à moteurs à piston)")</f>
        <v xml:space="preserve">   Groupes électrogènes (autres qu'à énergie éolienne et à moteurs à piston)</v>
      </c>
      <c r="C5486">
        <v>21337976</v>
      </c>
      <c r="D5486">
        <v>29311</v>
      </c>
    </row>
    <row r="5487" spans="1:4" x14ac:dyDescent="0.25">
      <c r="A5487" t="str">
        <f>T("   850240")</f>
        <v xml:space="preserve">   850240</v>
      </c>
      <c r="B5487" t="str">
        <f>T("   Convertisseurs rotatifs électriques")</f>
        <v xml:space="preserve">   Convertisseurs rotatifs électriques</v>
      </c>
      <c r="C5487">
        <v>1443512</v>
      </c>
      <c r="D5487">
        <v>270</v>
      </c>
    </row>
    <row r="5488" spans="1:4" x14ac:dyDescent="0.25">
      <c r="A5488" t="str">
        <f>T("   850300")</f>
        <v xml:space="preserve">   850300</v>
      </c>
      <c r="B5488" t="str">
        <f>T("   Parties reconnaissables comme étant exclusivement ou principalement destinées aux moteurs et machines génératrices électriques, groupes électrogènes ou convertisseurs rotatifs électriques n.d.a.")</f>
        <v xml:space="preserve">   Parties reconnaissables comme étant exclusivement ou principalement destinées aux moteurs et machines génératrices électriques, groupes électrogènes ou convertisseurs rotatifs électriques n.d.a.</v>
      </c>
      <c r="C5488">
        <v>166544204</v>
      </c>
      <c r="D5488">
        <v>14018.6</v>
      </c>
    </row>
    <row r="5489" spans="1:4" x14ac:dyDescent="0.25">
      <c r="A5489" t="str">
        <f>T("   850410")</f>
        <v xml:space="preserve">   850410</v>
      </c>
      <c r="B5489" t="str">
        <f>T("   Ballasts pour lampes ou tubes à décharge")</f>
        <v xml:space="preserve">   Ballasts pour lampes ou tubes à décharge</v>
      </c>
      <c r="C5489">
        <v>2741769</v>
      </c>
      <c r="D5489">
        <v>605</v>
      </c>
    </row>
    <row r="5490" spans="1:4" x14ac:dyDescent="0.25">
      <c r="A5490" t="str">
        <f>T("   850421")</f>
        <v xml:space="preserve">   850421</v>
      </c>
      <c r="B5490" t="str">
        <f>T("   Transformateurs à diélectrique liquide, puissance &lt;= 650 kVA")</f>
        <v xml:space="preserve">   Transformateurs à diélectrique liquide, puissance &lt;= 650 kVA</v>
      </c>
      <c r="C5490">
        <v>47336152</v>
      </c>
      <c r="D5490">
        <v>27590</v>
      </c>
    </row>
    <row r="5491" spans="1:4" x14ac:dyDescent="0.25">
      <c r="A5491" t="str">
        <f>T("   850422")</f>
        <v xml:space="preserve">   850422</v>
      </c>
      <c r="B5491" t="str">
        <f>T("   Transformateurs à diélectrique liquide, puissance &gt; 650 kVA mais &lt;= 10.000 kVA")</f>
        <v xml:space="preserve">   Transformateurs à diélectrique liquide, puissance &gt; 650 kVA mais &lt;= 10.000 kVA</v>
      </c>
      <c r="C5491">
        <v>23232896</v>
      </c>
      <c r="D5491">
        <v>7894</v>
      </c>
    </row>
    <row r="5492" spans="1:4" x14ac:dyDescent="0.25">
      <c r="A5492" t="str">
        <f>T("   850431")</f>
        <v xml:space="preserve">   850431</v>
      </c>
      <c r="B5492" t="str">
        <f>T("   Transformateurs à sec, puissance &lt;= 1 kVA")</f>
        <v xml:space="preserve">   Transformateurs à sec, puissance &lt;= 1 kVA</v>
      </c>
      <c r="C5492">
        <v>21672262</v>
      </c>
      <c r="D5492">
        <v>823</v>
      </c>
    </row>
    <row r="5493" spans="1:4" x14ac:dyDescent="0.25">
      <c r="A5493" t="str">
        <f>T("   850432")</f>
        <v xml:space="preserve">   850432</v>
      </c>
      <c r="B5493" t="str">
        <f>T("   Transformateurs à sec, puissance &gt; 1 kVA mais &lt;= 16 kVA")</f>
        <v xml:space="preserve">   Transformateurs à sec, puissance &gt; 1 kVA mais &lt;= 16 kVA</v>
      </c>
      <c r="C5493">
        <v>1600544</v>
      </c>
      <c r="D5493">
        <v>51</v>
      </c>
    </row>
    <row r="5494" spans="1:4" x14ac:dyDescent="0.25">
      <c r="A5494" t="str">
        <f>T("   850433")</f>
        <v xml:space="preserve">   850433</v>
      </c>
      <c r="B5494" t="str">
        <f>T("   Transformateurs à sec, puissance &gt; 16 kVA mais &lt;= 500 kVA")</f>
        <v xml:space="preserve">   Transformateurs à sec, puissance &gt; 16 kVA mais &lt;= 500 kVA</v>
      </c>
      <c r="C5494">
        <v>114153445</v>
      </c>
      <c r="D5494">
        <v>26716</v>
      </c>
    </row>
    <row r="5495" spans="1:4" x14ac:dyDescent="0.25">
      <c r="A5495" t="str">
        <f>T("   850434")</f>
        <v xml:space="preserve">   850434</v>
      </c>
      <c r="B5495" t="str">
        <f>T("   Transformateurs à sec, puissance &gt; 500 kVA")</f>
        <v xml:space="preserve">   Transformateurs à sec, puissance &gt; 500 kVA</v>
      </c>
      <c r="C5495">
        <v>92322752</v>
      </c>
      <c r="D5495">
        <v>26833</v>
      </c>
    </row>
    <row r="5496" spans="1:4" x14ac:dyDescent="0.25">
      <c r="A5496" t="str">
        <f>T("   850440")</f>
        <v xml:space="preserve">   850440</v>
      </c>
      <c r="B5496" t="str">
        <f>T("   CONVERTISSEURS STATIQUES")</f>
        <v xml:space="preserve">   CONVERTISSEURS STATIQUES</v>
      </c>
      <c r="C5496">
        <v>350523308</v>
      </c>
      <c r="D5496">
        <v>51813.08</v>
      </c>
    </row>
    <row r="5497" spans="1:4" x14ac:dyDescent="0.25">
      <c r="A5497" t="str">
        <f>T("   850450")</f>
        <v xml:space="preserve">   850450</v>
      </c>
      <c r="B5497" t="str">
        <f>T("   Bobines de réactance et autres selfs (autres que pour lampes ou tubes à décharge)")</f>
        <v xml:space="preserve">   Bobines de réactance et autres selfs (autres que pour lampes ou tubes à décharge)</v>
      </c>
      <c r="C5497">
        <v>1881294</v>
      </c>
      <c r="D5497">
        <v>33</v>
      </c>
    </row>
    <row r="5498" spans="1:4" x14ac:dyDescent="0.25">
      <c r="A5498" t="str">
        <f>T("   850490")</f>
        <v xml:space="preserve">   850490</v>
      </c>
      <c r="B5498" t="str">
        <f>T("   Parties de transformateurs, de bobines de réactance et selfs n.d.a.")</f>
        <v xml:space="preserve">   Parties de transformateurs, de bobines de réactance et selfs n.d.a.</v>
      </c>
      <c r="C5498">
        <v>8724484</v>
      </c>
      <c r="D5498">
        <v>2181</v>
      </c>
    </row>
    <row r="5499" spans="1:4" x14ac:dyDescent="0.25">
      <c r="A5499" t="str">
        <f>T("   850519")</f>
        <v xml:space="preserve">   850519</v>
      </c>
      <c r="B5499" t="str">
        <f>T("   Aimants permanents et articles destinés à devenir des aimants permanents après aimantation, autres qu'en métal")</f>
        <v xml:space="preserve">   Aimants permanents et articles destinés à devenir des aimants permanents après aimantation, autres qu'en métal</v>
      </c>
      <c r="C5499">
        <v>1672699</v>
      </c>
      <c r="D5499">
        <v>641</v>
      </c>
    </row>
    <row r="5500" spans="1:4" x14ac:dyDescent="0.25">
      <c r="A5500" t="str">
        <f>T("   850520")</f>
        <v xml:space="preserve">   850520</v>
      </c>
      <c r="B5500" t="str">
        <f>T("   Accouplements, embrayages, variateurs de vitesse et freins électromagnétiques")</f>
        <v xml:space="preserve">   Accouplements, embrayages, variateurs de vitesse et freins électromagnétiques</v>
      </c>
      <c r="C5500">
        <v>7347591</v>
      </c>
      <c r="D5500">
        <v>279</v>
      </c>
    </row>
    <row r="5501" spans="1:4" x14ac:dyDescent="0.25">
      <c r="A5501" t="str">
        <f>T("   850590")</f>
        <v xml:space="preserve">   850590</v>
      </c>
      <c r="B5501" t="str">
        <f>T("   ÉLECTRO-AIMANTS (AUTRES QU'À USAGES MÉDICAUX), TÊTES DE LEVAGE ÉLECTROMAGNÉTIQUES AINSI QUE PLATEAUX, MANDRINS ET DISPOSITIFS MAGNÉTIQUES OU ÉLECTROMAGNÉTIQUES SIMIL. DE FIXATION ET LEURS PARTIES N.D.A.")</f>
        <v xml:space="preserve">   ÉLECTRO-AIMANTS (AUTRES QU'À USAGES MÉDICAUX), TÊTES DE LEVAGE ÉLECTROMAGNÉTIQUES AINSI QUE PLATEAUX, MANDRINS ET DISPOSITIFS MAGNÉTIQUES OU ÉLECTROMAGNÉTIQUES SIMIL. DE FIXATION ET LEURS PARTIES N.D.A.</v>
      </c>
      <c r="C5501">
        <v>1081925</v>
      </c>
      <c r="D5501">
        <v>74.17</v>
      </c>
    </row>
    <row r="5502" spans="1:4" x14ac:dyDescent="0.25">
      <c r="A5502" t="str">
        <f>T("   850610")</f>
        <v xml:space="preserve">   850610</v>
      </c>
      <c r="B5502" t="str">
        <f>T("   Piles et batteries de piles électriques, au bioxyde de manganèse (sauf hors d'usage)")</f>
        <v xml:space="preserve">   Piles et batteries de piles électriques, au bioxyde de manganèse (sauf hors d'usage)</v>
      </c>
      <c r="C5502">
        <v>9867578</v>
      </c>
      <c r="D5502">
        <v>1311</v>
      </c>
    </row>
    <row r="5503" spans="1:4" x14ac:dyDescent="0.25">
      <c r="A5503" t="str">
        <f>T("   850680")</f>
        <v xml:space="preserve">   850680</v>
      </c>
      <c r="B5503" t="str">
        <f>T("   Piles et batteries de piles électriques (sauf hors d'usage et autres que piles et batteries à l'oxyde d'argent, de mercure, au bioxyde de manganèse, au lithium et à l'air-zinc)")</f>
        <v xml:space="preserve">   Piles et batteries de piles électriques (sauf hors d'usage et autres que piles et batteries à l'oxyde d'argent, de mercure, au bioxyde de manganèse, au lithium et à l'air-zinc)</v>
      </c>
      <c r="C5503">
        <v>13929476</v>
      </c>
      <c r="D5503">
        <v>2604.5</v>
      </c>
    </row>
    <row r="5504" spans="1:4" x14ac:dyDescent="0.25">
      <c r="A5504" t="str">
        <f>T("   850710")</f>
        <v xml:space="preserve">   850710</v>
      </c>
      <c r="B5504" t="str">
        <f>T("   Accumulateurs au plomb, pour le démarrage des moteurs à piston (sauf hors d'usage)")</f>
        <v xml:space="preserve">   Accumulateurs au plomb, pour le démarrage des moteurs à piston (sauf hors d'usage)</v>
      </c>
      <c r="C5504">
        <v>21795794</v>
      </c>
      <c r="D5504">
        <v>9342</v>
      </c>
    </row>
    <row r="5505" spans="1:4" x14ac:dyDescent="0.25">
      <c r="A5505" t="str">
        <f>T("   850720")</f>
        <v xml:space="preserve">   850720</v>
      </c>
      <c r="B5505" t="str">
        <f>T("   Accumulateurs au plomb (sauf hors d'usage et autres que pour le démarrage des moteurs à piston)")</f>
        <v xml:space="preserve">   Accumulateurs au plomb (sauf hors d'usage et autres que pour le démarrage des moteurs à piston)</v>
      </c>
      <c r="C5505">
        <v>2558237</v>
      </c>
      <c r="D5505">
        <v>1311</v>
      </c>
    </row>
    <row r="5506" spans="1:4" x14ac:dyDescent="0.25">
      <c r="A5506" t="str">
        <f>T("   850730")</f>
        <v xml:space="preserve">   850730</v>
      </c>
      <c r="B5506" t="str">
        <f>T("   Accumulateurs au nickel-cadmium (sauf hors d'usage)")</f>
        <v xml:space="preserve">   Accumulateurs au nickel-cadmium (sauf hors d'usage)</v>
      </c>
      <c r="C5506">
        <v>20504654</v>
      </c>
      <c r="D5506">
        <v>2507</v>
      </c>
    </row>
    <row r="5507" spans="1:4" x14ac:dyDescent="0.25">
      <c r="A5507" t="str">
        <f>T("   850740")</f>
        <v xml:space="preserve">   850740</v>
      </c>
      <c r="B5507" t="str">
        <f>T("   Accumulateurs au nickel-fer (sauf hors d'usage)")</f>
        <v xml:space="preserve">   Accumulateurs au nickel-fer (sauf hors d'usage)</v>
      </c>
      <c r="C5507">
        <v>6084029</v>
      </c>
      <c r="D5507">
        <v>400</v>
      </c>
    </row>
    <row r="5508" spans="1:4" x14ac:dyDescent="0.25">
      <c r="A5508" t="str">
        <f>T("   850780")</f>
        <v xml:space="preserve">   850780</v>
      </c>
      <c r="B5508" t="str">
        <f>T("   Accumulateurs électriques (sauf hors d'usage et autres qu'au plomb, au nickel-cadmium ou au nickel-fer)")</f>
        <v xml:space="preserve">   Accumulateurs électriques (sauf hors d'usage et autres qu'au plomb, au nickel-cadmium ou au nickel-fer)</v>
      </c>
      <c r="C5508">
        <v>58212043</v>
      </c>
      <c r="D5508">
        <v>22241.43</v>
      </c>
    </row>
    <row r="5509" spans="1:4" x14ac:dyDescent="0.25">
      <c r="A5509" t="str">
        <f>T("   850790")</f>
        <v xml:space="preserve">   850790</v>
      </c>
      <c r="B5509" t="str">
        <f>T("   Plaques, séparateurs et autres parties d'accumulateurs électriques n.d.a.")</f>
        <v xml:space="preserve">   Plaques, séparateurs et autres parties d'accumulateurs électriques n.d.a.</v>
      </c>
      <c r="C5509">
        <v>962985</v>
      </c>
      <c r="D5509">
        <v>102</v>
      </c>
    </row>
    <row r="5510" spans="1:4" x14ac:dyDescent="0.25">
      <c r="A5510" t="str">
        <f>T("   850810")</f>
        <v xml:space="preserve">   850810</v>
      </c>
      <c r="B5510" t="str">
        <f>T("   PERCEUSES A MOTEUR ELECTRIQUE INCORPORE, POUR EMPLOI A LA MAIN, Y COMPRIS LES PERFORATRICES ROTATIVES")</f>
        <v xml:space="preserve">   PERCEUSES A MOTEUR ELECTRIQUE INCORPORE, POUR EMPLOI A LA MAIN, Y COMPRIS LES PERFORATRICES ROTATIVES</v>
      </c>
      <c r="C5510">
        <v>759968</v>
      </c>
      <c r="D5510">
        <v>53</v>
      </c>
    </row>
    <row r="5511" spans="1:4" x14ac:dyDescent="0.25">
      <c r="A5511" t="str">
        <f>T("   850910")</f>
        <v xml:space="preserve">   850910</v>
      </c>
      <c r="B5511" t="str">
        <f>T("   Aspirateurs de poussières, y.c. les aspirateurs de matières sèches et de matières liquides, à moteur électrique incorporé, à usage domestique")</f>
        <v xml:space="preserve">   Aspirateurs de poussières, y.c. les aspirateurs de matières sèches et de matières liquides, à moteur électrique incorporé, à usage domestique</v>
      </c>
      <c r="C5511">
        <v>4477033</v>
      </c>
      <c r="D5511">
        <v>1775</v>
      </c>
    </row>
    <row r="5512" spans="1:4" x14ac:dyDescent="0.25">
      <c r="A5512" t="str">
        <f>T("   850940")</f>
        <v xml:space="preserve">   850940</v>
      </c>
      <c r="B5512" t="str">
        <f>T("   Broyeurs et mélangeurs pour aliments; presse-fruits et presse-légumes à moteur électrique incorporé, à usage domestique")</f>
        <v xml:space="preserve">   Broyeurs et mélangeurs pour aliments; presse-fruits et presse-légumes à moteur électrique incorporé, à usage domestique</v>
      </c>
      <c r="C5512">
        <v>19072150</v>
      </c>
      <c r="D5512">
        <v>3135.8</v>
      </c>
    </row>
    <row r="5513" spans="1:4" x14ac:dyDescent="0.25">
      <c r="A5513" t="str">
        <f>T("   850980")</f>
        <v xml:space="preserve">   850980</v>
      </c>
      <c r="B5513" t="s">
        <v>452</v>
      </c>
      <c r="C5513">
        <v>2960615</v>
      </c>
      <c r="D5513">
        <v>4785</v>
      </c>
    </row>
    <row r="5514" spans="1:4" x14ac:dyDescent="0.25">
      <c r="A5514" t="str">
        <f>T("   850990")</f>
        <v xml:space="preserve">   850990</v>
      </c>
      <c r="B5514" t="str">
        <f>T("   Parties d'appareils électromécaniques à moteur électrique incorporé, à usage domestique, n.d.a.")</f>
        <v xml:space="preserve">   Parties d'appareils électromécaniques à moteur électrique incorporé, à usage domestique, n.d.a.</v>
      </c>
      <c r="C5514">
        <v>1992806</v>
      </c>
      <c r="D5514">
        <v>38</v>
      </c>
    </row>
    <row r="5515" spans="1:4" x14ac:dyDescent="0.25">
      <c r="A5515" t="str">
        <f>T("   851020")</f>
        <v xml:space="preserve">   851020</v>
      </c>
      <c r="B5515" t="str">
        <f>T("   Tondeuses à moteur électrique incorporé")</f>
        <v xml:space="preserve">   Tondeuses à moteur électrique incorporé</v>
      </c>
      <c r="C5515">
        <v>1662858</v>
      </c>
      <c r="D5515">
        <v>134</v>
      </c>
    </row>
    <row r="5516" spans="1:4" x14ac:dyDescent="0.25">
      <c r="A5516" t="str">
        <f>T("   851030")</f>
        <v xml:space="preserve">   851030</v>
      </c>
      <c r="B5516" t="str">
        <f>T("   Appareils à épiler à moteur électrique incorporé")</f>
        <v xml:space="preserve">   Appareils à épiler à moteur électrique incorporé</v>
      </c>
      <c r="C5516">
        <v>226962</v>
      </c>
      <c r="D5516">
        <v>13</v>
      </c>
    </row>
    <row r="5517" spans="1:4" x14ac:dyDescent="0.25">
      <c r="A5517" t="str">
        <f>T("   851110")</f>
        <v xml:space="preserve">   851110</v>
      </c>
      <c r="B5517" t="str">
        <f>T("   Bougies d'allumage pour moteurs à allumage par étincelles ou par compression")</f>
        <v xml:space="preserve">   Bougies d'allumage pour moteurs à allumage par étincelles ou par compression</v>
      </c>
      <c r="C5517">
        <v>7880092</v>
      </c>
      <c r="D5517">
        <v>599.5</v>
      </c>
    </row>
    <row r="5518" spans="1:4" x14ac:dyDescent="0.25">
      <c r="A5518" t="str">
        <f>T("   851130")</f>
        <v xml:space="preserve">   851130</v>
      </c>
      <c r="B5518" t="str">
        <f>T("   Distributeurs et bobines d'allumage, pour moteurs à allumage par étincelles ou par compression")</f>
        <v xml:space="preserve">   Distributeurs et bobines d'allumage, pour moteurs à allumage par étincelles ou par compression</v>
      </c>
      <c r="C5518">
        <v>2103034</v>
      </c>
      <c r="D5518">
        <v>47</v>
      </c>
    </row>
    <row r="5519" spans="1:4" x14ac:dyDescent="0.25">
      <c r="A5519" t="str">
        <f>T("   851140")</f>
        <v xml:space="preserve">   851140</v>
      </c>
      <c r="B5519" t="str">
        <f>T("   Démarreurs, même fonctionnant comme génératrices, pour moteurs à allumage par étincelles ou par compression")</f>
        <v xml:space="preserve">   Démarreurs, même fonctionnant comme génératrices, pour moteurs à allumage par étincelles ou par compression</v>
      </c>
      <c r="C5519">
        <v>24761524</v>
      </c>
      <c r="D5519">
        <v>1113</v>
      </c>
    </row>
    <row r="5520" spans="1:4" x14ac:dyDescent="0.25">
      <c r="A5520" t="str">
        <f>T("   851150")</f>
        <v xml:space="preserve">   851150</v>
      </c>
      <c r="B5520" t="str">
        <f>T("   Génératrices pour moteurs à allumage par étincelles ou par compression (autres que dynamos-magnétos et démarreurs fonctionnant comme génératrices)")</f>
        <v xml:space="preserve">   Génératrices pour moteurs à allumage par étincelles ou par compression (autres que dynamos-magnétos et démarreurs fonctionnant comme génératrices)</v>
      </c>
      <c r="C5520">
        <v>7491105</v>
      </c>
      <c r="D5520">
        <v>677</v>
      </c>
    </row>
    <row r="5521" spans="1:4" x14ac:dyDescent="0.25">
      <c r="A5521" t="str">
        <f>T("   851180")</f>
        <v xml:space="preserve">   851180</v>
      </c>
      <c r="B5521" t="s">
        <v>453</v>
      </c>
      <c r="C5521">
        <v>3536459</v>
      </c>
      <c r="D5521">
        <v>79.099999999999994</v>
      </c>
    </row>
    <row r="5522" spans="1:4" x14ac:dyDescent="0.25">
      <c r="A5522" t="str">
        <f>T("   851190")</f>
        <v xml:space="preserve">   851190</v>
      </c>
      <c r="B5522" t="str">
        <f>T("   Parties des appareils et dispositifs électriques d'allumage et de démarrage, génératrices etc. du n° 8511, n.d.a.")</f>
        <v xml:space="preserve">   Parties des appareils et dispositifs électriques d'allumage et de démarrage, génératrices etc. du n° 8511, n.d.a.</v>
      </c>
      <c r="C5522">
        <v>3877380</v>
      </c>
      <c r="D5522">
        <v>205</v>
      </c>
    </row>
    <row r="5523" spans="1:4" x14ac:dyDescent="0.25">
      <c r="A5523" t="str">
        <f>T("   851220")</f>
        <v xml:space="preserve">   851220</v>
      </c>
      <c r="B5523" t="str">
        <f>T("   Appareils électriques d'éclairage ou de signalisation visuelle, pour automobiles (à l'excl. des lampes du n° 8539)")</f>
        <v xml:space="preserve">   Appareils électriques d'éclairage ou de signalisation visuelle, pour automobiles (à l'excl. des lampes du n° 8539)</v>
      </c>
      <c r="C5523">
        <v>19630766</v>
      </c>
      <c r="D5523">
        <v>1574</v>
      </c>
    </row>
    <row r="5524" spans="1:4" x14ac:dyDescent="0.25">
      <c r="A5524" t="str">
        <f>T("   851230")</f>
        <v xml:space="preserve">   851230</v>
      </c>
      <c r="B5524" t="str">
        <f>T("   APPAREILS ÉLECTRIQUES DE SIGNALISATION ACOUSTIQUE, POUR CYCLES OU POUR AUTOMOBILES")</f>
        <v xml:space="preserve">   APPAREILS ÉLECTRIQUES DE SIGNALISATION ACOUSTIQUE, POUR CYCLES OU POUR AUTOMOBILES</v>
      </c>
      <c r="C5524">
        <v>3329732</v>
      </c>
      <c r="D5524">
        <v>304.19</v>
      </c>
    </row>
    <row r="5525" spans="1:4" x14ac:dyDescent="0.25">
      <c r="A5525" t="str">
        <f>T("   851240")</f>
        <v xml:space="preserve">   851240</v>
      </c>
      <c r="B5525" t="str">
        <f>T("   Essuie-glaces, dégivreurs et dispositifs antibuée électriques, des types utilisés pour automobiles")</f>
        <v xml:space="preserve">   Essuie-glaces, dégivreurs et dispositifs antibuée électriques, des types utilisés pour automobiles</v>
      </c>
      <c r="C5525">
        <v>2235163</v>
      </c>
      <c r="D5525">
        <v>108</v>
      </c>
    </row>
    <row r="5526" spans="1:4" x14ac:dyDescent="0.25">
      <c r="A5526" t="str">
        <f>T("   851290")</f>
        <v xml:space="preserve">   851290</v>
      </c>
      <c r="B5526" t="str">
        <f>T("   PARTIES DES APPAREILS ÉLECTRIQUES D'ÉCLAIRAGE, DE SIGNALISATION, ESSUIE-GLACES, DÉGIVREURS ET DISPOSITIFS ANTIBUÉE, DES TYPES UTILISÉS POUR CYCLES ET POUR AUTOMOBILES, N.D.A.")</f>
        <v xml:space="preserve">   PARTIES DES APPAREILS ÉLECTRIQUES D'ÉCLAIRAGE, DE SIGNALISATION, ESSUIE-GLACES, DÉGIVREURS ET DISPOSITIFS ANTIBUÉE, DES TYPES UTILISÉS POUR CYCLES ET POUR AUTOMOBILES, N.D.A.</v>
      </c>
      <c r="C5526">
        <v>103772</v>
      </c>
      <c r="D5526">
        <v>76</v>
      </c>
    </row>
    <row r="5527" spans="1:4" x14ac:dyDescent="0.25">
      <c r="A5527" t="str">
        <f>T("   851310")</f>
        <v xml:space="preserve">   851310</v>
      </c>
      <c r="B5527" t="str">
        <f>T("   Lampes électriques portatives, destinées à fonctionner au moyen de leur propre source d'énergie")</f>
        <v xml:space="preserve">   Lampes électriques portatives, destinées à fonctionner au moyen de leur propre source d'énergie</v>
      </c>
      <c r="C5527">
        <v>3715966</v>
      </c>
      <c r="D5527">
        <v>736</v>
      </c>
    </row>
    <row r="5528" spans="1:4" x14ac:dyDescent="0.25">
      <c r="A5528" t="str">
        <f>T("   851410")</f>
        <v xml:space="preserve">   851410</v>
      </c>
      <c r="B5528" t="str">
        <f>T("   Fours à résistance -à chauffage indirect-, industriels ou de laboratoires (à l'excl. des étuves)")</f>
        <v xml:space="preserve">   Fours à résistance -à chauffage indirect-, industriels ou de laboratoires (à l'excl. des étuves)</v>
      </c>
      <c r="C5528">
        <v>1261411</v>
      </c>
      <c r="D5528">
        <v>600</v>
      </c>
    </row>
    <row r="5529" spans="1:4" x14ac:dyDescent="0.25">
      <c r="A5529" t="str">
        <f>T("   851430")</f>
        <v xml:space="preserve">   851430</v>
      </c>
      <c r="B5529" t="str">
        <f>T("   Fours électriques industriels ou de laboratoires (autres que les fours à résistance, à chauffage indirect, les fours fonctionnant par induction ou par perte diélectrique et les étuves)")</f>
        <v xml:space="preserve">   Fours électriques industriels ou de laboratoires (autres que les fours à résistance, à chauffage indirect, les fours fonctionnant par induction ou par perte diélectrique et les étuves)</v>
      </c>
      <c r="C5529">
        <v>3892265</v>
      </c>
      <c r="D5529">
        <v>713</v>
      </c>
    </row>
    <row r="5530" spans="1:4" x14ac:dyDescent="0.25">
      <c r="A5530" t="str">
        <f>T("   851519")</f>
        <v xml:space="preserve">   851519</v>
      </c>
      <c r="B5530" t="str">
        <f>T("   Machines et appareils électriques pour le brasage fort ou tendre (sauf fers et pistolets à braser)")</f>
        <v xml:space="preserve">   Machines et appareils électriques pour le brasage fort ou tendre (sauf fers et pistolets à braser)</v>
      </c>
      <c r="C5530">
        <v>75000</v>
      </c>
      <c r="D5530">
        <v>100</v>
      </c>
    </row>
    <row r="5531" spans="1:4" x14ac:dyDescent="0.25">
      <c r="A5531" t="str">
        <f>T("   851529")</f>
        <v xml:space="preserve">   851529</v>
      </c>
      <c r="B5531" t="str">
        <f>T("   MACHINES ET APPAREILS POUR LE SOUDAGE DES MÉTAUX PAR RÉSISTANCE, NON-AUTOMATIQUES")</f>
        <v xml:space="preserve">   MACHINES ET APPAREILS POUR LE SOUDAGE DES MÉTAUX PAR RÉSISTANCE, NON-AUTOMATIQUES</v>
      </c>
      <c r="C5531">
        <v>6919066</v>
      </c>
      <c r="D5531">
        <v>7615</v>
      </c>
    </row>
    <row r="5532" spans="1:4" x14ac:dyDescent="0.25">
      <c r="A5532" t="str">
        <f>T("   851539")</f>
        <v xml:space="preserve">   851539</v>
      </c>
      <c r="B5532" t="str">
        <f>T("   MACHINES ET APPAREILS POUR LE SOUDAGE DES MÉTAUX À L'ARC OU AU JET DE PLASMA, NON-AUTOMATIQUES")</f>
        <v xml:space="preserve">   MACHINES ET APPAREILS POUR LE SOUDAGE DES MÉTAUX À L'ARC OU AU JET DE PLASMA, NON-AUTOMATIQUES</v>
      </c>
      <c r="C5532">
        <v>18134670</v>
      </c>
      <c r="D5532">
        <v>19720</v>
      </c>
    </row>
    <row r="5533" spans="1:4" x14ac:dyDescent="0.25">
      <c r="A5533" t="str">
        <f>T("   851580")</f>
        <v xml:space="preserve">   851580</v>
      </c>
      <c r="B5533" t="s">
        <v>455</v>
      </c>
      <c r="C5533">
        <v>10881138</v>
      </c>
      <c r="D5533">
        <v>6216</v>
      </c>
    </row>
    <row r="5534" spans="1:4" x14ac:dyDescent="0.25">
      <c r="A5534" t="str">
        <f>T("   851590")</f>
        <v xml:space="preserve">   851590</v>
      </c>
      <c r="B5534" t="str">
        <f>T("   Parties de machines et appareils électriques pour le brasage, le soudage ou la projection à chaud de métaux, de carbures métalliques frittés ou de cermets, n.d.a.")</f>
        <v xml:space="preserve">   Parties de machines et appareils électriques pour le brasage, le soudage ou la projection à chaud de métaux, de carbures métalliques frittés ou de cermets, n.d.a.</v>
      </c>
      <c r="C5534">
        <v>3512172</v>
      </c>
      <c r="D5534">
        <v>507</v>
      </c>
    </row>
    <row r="5535" spans="1:4" x14ac:dyDescent="0.25">
      <c r="A5535" t="str">
        <f>T("   851610")</f>
        <v xml:space="preserve">   851610</v>
      </c>
      <c r="B5535" t="str">
        <f>T("   Chauffe-eau et thermoplongeurs électriques")</f>
        <v xml:space="preserve">   Chauffe-eau et thermoplongeurs électriques</v>
      </c>
      <c r="C5535">
        <v>82845269</v>
      </c>
      <c r="D5535">
        <v>40664</v>
      </c>
    </row>
    <row r="5536" spans="1:4" x14ac:dyDescent="0.25">
      <c r="A5536" t="str">
        <f>T("   851629")</f>
        <v xml:space="preserve">   851629</v>
      </c>
      <c r="B5536" t="str">
        <f>T("   Appareils électriques pour le chauffage des locaux, du sol ou pour usages simil. (sauf radiateurs à accumulation)")</f>
        <v xml:space="preserve">   Appareils électriques pour le chauffage des locaux, du sol ou pour usages simil. (sauf radiateurs à accumulation)</v>
      </c>
      <c r="C5536">
        <v>190884</v>
      </c>
      <c r="D5536">
        <v>66</v>
      </c>
    </row>
    <row r="5537" spans="1:4" x14ac:dyDescent="0.25">
      <c r="A5537" t="str">
        <f>T("   851631")</f>
        <v xml:space="preserve">   851631</v>
      </c>
      <c r="B5537" t="str">
        <f>T("   Sèche-cheveux électriques")</f>
        <v xml:space="preserve">   Sèche-cheveux électriques</v>
      </c>
      <c r="C5537">
        <v>6652747</v>
      </c>
      <c r="D5537">
        <v>892</v>
      </c>
    </row>
    <row r="5538" spans="1:4" x14ac:dyDescent="0.25">
      <c r="A5538" t="str">
        <f>T("   851633")</f>
        <v xml:space="preserve">   851633</v>
      </c>
      <c r="B5538" t="str">
        <f>T("   Appareils électriques pour sécher les mains")</f>
        <v xml:space="preserve">   Appareils électriques pour sécher les mains</v>
      </c>
      <c r="C5538">
        <v>10000</v>
      </c>
      <c r="D5538">
        <v>50</v>
      </c>
    </row>
    <row r="5539" spans="1:4" x14ac:dyDescent="0.25">
      <c r="A5539" t="str">
        <f>T("   851640")</f>
        <v xml:space="preserve">   851640</v>
      </c>
      <c r="B5539" t="str">
        <f>T("   Fers à repasser électriques")</f>
        <v xml:space="preserve">   Fers à repasser électriques</v>
      </c>
      <c r="C5539">
        <v>7159005</v>
      </c>
      <c r="D5539">
        <v>2334</v>
      </c>
    </row>
    <row r="5540" spans="1:4" x14ac:dyDescent="0.25">
      <c r="A5540" t="str">
        <f>T("   851650")</f>
        <v xml:space="preserve">   851650</v>
      </c>
      <c r="B5540" t="str">
        <f>T("   Fours à micro-ondes")</f>
        <v xml:space="preserve">   Fours à micro-ondes</v>
      </c>
      <c r="C5540">
        <v>276199</v>
      </c>
      <c r="D5540">
        <v>342</v>
      </c>
    </row>
    <row r="5541" spans="1:4" x14ac:dyDescent="0.25">
      <c r="A5541" t="str">
        <f>T("   851660")</f>
        <v xml:space="preserve">   851660</v>
      </c>
      <c r="B5541" t="str">
        <f>T("   Fours, cuisinières, réchauds, tables de cuisson, grils et rôtissoires électriques, pour usages domestiques (sauf fours destinés au chauffage des locaux et fours à micro-ondes)")</f>
        <v xml:space="preserve">   Fours, cuisinières, réchauds, tables de cuisson, grils et rôtissoires électriques, pour usages domestiques (sauf fours destinés au chauffage des locaux et fours à micro-ondes)</v>
      </c>
      <c r="C5541">
        <v>18230847</v>
      </c>
      <c r="D5541">
        <v>5295.3</v>
      </c>
    </row>
    <row r="5542" spans="1:4" x14ac:dyDescent="0.25">
      <c r="A5542" t="str">
        <f>T("   851671")</f>
        <v xml:space="preserve">   851671</v>
      </c>
      <c r="B5542" t="str">
        <f>T("   Appareils électriques pour la préparation du café ou du thé, pour usages domestiques")</f>
        <v xml:space="preserve">   Appareils électriques pour la préparation du café ou du thé, pour usages domestiques</v>
      </c>
      <c r="C5542">
        <v>34585359</v>
      </c>
      <c r="D5542">
        <v>4864</v>
      </c>
    </row>
    <row r="5543" spans="1:4" x14ac:dyDescent="0.25">
      <c r="A5543" t="str">
        <f>T("   851672")</f>
        <v xml:space="preserve">   851672</v>
      </c>
      <c r="B5543" t="str">
        <f>T("   Grille-pain électriques, pour usages domestiques")</f>
        <v xml:space="preserve">   Grille-pain électriques, pour usages domestiques</v>
      </c>
      <c r="C5543">
        <v>1523796</v>
      </c>
      <c r="D5543">
        <v>254</v>
      </c>
    </row>
    <row r="5544" spans="1:4" x14ac:dyDescent="0.25">
      <c r="A5544" t="str">
        <f>T("   851679")</f>
        <v xml:space="preserve">   851679</v>
      </c>
      <c r="B5544" t="s">
        <v>456</v>
      </c>
      <c r="C5544">
        <v>41591031</v>
      </c>
      <c r="D5544">
        <v>8679</v>
      </c>
    </row>
    <row r="5545" spans="1:4" x14ac:dyDescent="0.25">
      <c r="A5545" t="str">
        <f>T("   851680")</f>
        <v xml:space="preserve">   851680</v>
      </c>
      <c r="B5545" t="str">
        <f>T("   Résistances chauffantes (autres qu'en charbon aggloméré ou graphite)")</f>
        <v xml:space="preserve">   Résistances chauffantes (autres qu'en charbon aggloméré ou graphite)</v>
      </c>
      <c r="C5545">
        <v>2575719</v>
      </c>
      <c r="D5545">
        <v>40</v>
      </c>
    </row>
    <row r="5546" spans="1:4" x14ac:dyDescent="0.25">
      <c r="A5546" t="str">
        <f>T("   851690")</f>
        <v xml:space="preserve">   851690</v>
      </c>
      <c r="B5546" t="str">
        <f>T("   Parties des chauffe-eau, appareils de chauffage des locaux, appareils électriques pour la coiffure ou pour sécher les mains, appareils électrothermiques pour usages domestiques et résistances chauffantes, n.d.a.")</f>
        <v xml:space="preserve">   Parties des chauffe-eau, appareils de chauffage des locaux, appareils électriques pour la coiffure ou pour sécher les mains, appareils électrothermiques pour usages domestiques et résistances chauffantes, n.d.a.</v>
      </c>
      <c r="C5546">
        <v>2258170</v>
      </c>
      <c r="D5546">
        <v>201</v>
      </c>
    </row>
    <row r="5547" spans="1:4" x14ac:dyDescent="0.25">
      <c r="A5547" t="str">
        <f>T("   851719")</f>
        <v xml:space="preserve">   851719</v>
      </c>
      <c r="B5547" t="str">
        <f>T("   Postes téléphoniques d'usagers pour la téléphonie par fil; visiophones (sauf postes téléphoniques d'usagers par fil à combinés sans fil et parlophones)")</f>
        <v xml:space="preserve">   Postes téléphoniques d'usagers pour la téléphonie par fil; visiophones (sauf postes téléphoniques d'usagers par fil à combinés sans fil et parlophones)</v>
      </c>
      <c r="C5547">
        <v>2925857</v>
      </c>
      <c r="D5547">
        <v>527.72</v>
      </c>
    </row>
    <row r="5548" spans="1:4" x14ac:dyDescent="0.25">
      <c r="A5548" t="str">
        <f>T("   851721")</f>
        <v xml:space="preserve">   851721</v>
      </c>
      <c r="B5548" t="str">
        <f>T("   Télécopieurs pour la téléphonie par fil")</f>
        <v xml:space="preserve">   Télécopieurs pour la téléphonie par fil</v>
      </c>
      <c r="C5548">
        <v>1304931</v>
      </c>
      <c r="D5548">
        <v>395</v>
      </c>
    </row>
    <row r="5549" spans="1:4" x14ac:dyDescent="0.25">
      <c r="A5549" t="str">
        <f>T("   851730")</f>
        <v xml:space="preserve">   851730</v>
      </c>
      <c r="B5549" t="str">
        <f>T("   Appareils de commutation pour la téléphonie ou la télégraphie par fil")</f>
        <v xml:space="preserve">   Appareils de commutation pour la téléphonie ou la télégraphie par fil</v>
      </c>
      <c r="C5549">
        <v>124879</v>
      </c>
      <c r="D5549">
        <v>59</v>
      </c>
    </row>
    <row r="5550" spans="1:4" x14ac:dyDescent="0.25">
      <c r="A5550" t="str">
        <f>T("   851750")</f>
        <v xml:space="preserve">   851750</v>
      </c>
      <c r="B5550" t="s">
        <v>457</v>
      </c>
      <c r="C5550">
        <v>63061041</v>
      </c>
      <c r="D5550">
        <v>995.7</v>
      </c>
    </row>
    <row r="5551" spans="1:4" x14ac:dyDescent="0.25">
      <c r="A5551" t="str">
        <f>T("   851780")</f>
        <v xml:space="preserve">   851780</v>
      </c>
      <c r="B5551" t="s">
        <v>458</v>
      </c>
      <c r="C5551">
        <v>631803761</v>
      </c>
      <c r="D5551">
        <v>367699.25</v>
      </c>
    </row>
    <row r="5552" spans="1:4" x14ac:dyDescent="0.25">
      <c r="A5552" t="str">
        <f>T("   851790")</f>
        <v xml:space="preserve">   851790</v>
      </c>
      <c r="B5552" t="s">
        <v>459</v>
      </c>
      <c r="C5552">
        <v>71410142</v>
      </c>
      <c r="D5552">
        <v>1728.17</v>
      </c>
    </row>
    <row r="5553" spans="1:4" x14ac:dyDescent="0.25">
      <c r="A5553" t="str">
        <f>T("   851821")</f>
        <v xml:space="preserve">   851821</v>
      </c>
      <c r="B5553" t="str">
        <f>T("   Haut-parleur unique monté dans son enceinte")</f>
        <v xml:space="preserve">   Haut-parleur unique monté dans son enceinte</v>
      </c>
      <c r="C5553">
        <v>470000</v>
      </c>
      <c r="D5553">
        <v>325</v>
      </c>
    </row>
    <row r="5554" spans="1:4" x14ac:dyDescent="0.25">
      <c r="A5554" t="str">
        <f>T("   851822")</f>
        <v xml:space="preserve">   851822</v>
      </c>
      <c r="B5554" t="str">
        <f>T("   Haut-parleurs multiples montés dans la même enceinte")</f>
        <v xml:space="preserve">   Haut-parleurs multiples montés dans la même enceinte</v>
      </c>
      <c r="C5554">
        <v>1609726</v>
      </c>
      <c r="D5554">
        <v>69</v>
      </c>
    </row>
    <row r="5555" spans="1:4" x14ac:dyDescent="0.25">
      <c r="A5555" t="str">
        <f>T("   851829")</f>
        <v xml:space="preserve">   851829</v>
      </c>
      <c r="B5555" t="str">
        <f>T("   Haut-parleurs sans enceinte")</f>
        <v xml:space="preserve">   Haut-parleurs sans enceinte</v>
      </c>
      <c r="C5555">
        <v>26238</v>
      </c>
      <c r="D5555">
        <v>50</v>
      </c>
    </row>
    <row r="5556" spans="1:4" x14ac:dyDescent="0.25">
      <c r="A5556" t="str">
        <f>T("   851830")</f>
        <v xml:space="preserve">   851830</v>
      </c>
      <c r="B5556" t="s">
        <v>460</v>
      </c>
      <c r="C5556">
        <v>11549488</v>
      </c>
      <c r="D5556">
        <v>150</v>
      </c>
    </row>
    <row r="5557" spans="1:4" x14ac:dyDescent="0.25">
      <c r="A5557" t="str">
        <f>T("   851850")</f>
        <v xml:space="preserve">   851850</v>
      </c>
      <c r="B5557" t="str">
        <f>T("   Appareils électriques d'amplification du son")</f>
        <v xml:space="preserve">   Appareils électriques d'amplification du son</v>
      </c>
      <c r="C5557">
        <v>6022809</v>
      </c>
      <c r="D5557">
        <v>220</v>
      </c>
    </row>
    <row r="5558" spans="1:4" x14ac:dyDescent="0.25">
      <c r="A5558" t="str">
        <f>T("   851910")</f>
        <v xml:space="preserve">   851910</v>
      </c>
      <c r="B5558" t="str">
        <f>T("   ÉLECTROPHONES COMMANDÉS PAR L'INTRODUCTION D'UNE PIÈCE DE MONNAIE OU D'UN JETON")</f>
        <v xml:space="preserve">   ÉLECTROPHONES COMMANDÉS PAR L'INTRODUCTION D'UNE PIÈCE DE MONNAIE OU D'UN JETON</v>
      </c>
      <c r="C5558">
        <v>100000</v>
      </c>
      <c r="D5558">
        <v>100</v>
      </c>
    </row>
    <row r="5559" spans="1:4" x14ac:dyDescent="0.25">
      <c r="A5559" t="str">
        <f>T("   851999")</f>
        <v xml:space="preserve">   851999</v>
      </c>
      <c r="B5559" t="str">
        <f>T("   Appareils de reproduction du son, n'incorporant pas de dispositif d'enregistrement du son (autres que tourne-disques, électrophones commandés par l'introduction d'une pièce de monnaie ou d'un jeton, machines à dicter et lecteurs de cassettes)")</f>
        <v xml:space="preserve">   Appareils de reproduction du son, n'incorporant pas de dispositif d'enregistrement du son (autres que tourne-disques, électrophones commandés par l'introduction d'une pièce de monnaie ou d'un jeton, machines à dicter et lecteurs de cassettes)</v>
      </c>
      <c r="C5559">
        <v>605417</v>
      </c>
      <c r="D5559">
        <v>351.47</v>
      </c>
    </row>
    <row r="5560" spans="1:4" x14ac:dyDescent="0.25">
      <c r="A5560" t="str">
        <f>T("   852020")</f>
        <v xml:space="preserve">   852020</v>
      </c>
      <c r="B5560" t="str">
        <f>T("   Répondeurs téléphoniques, incorporant un dispositif de reproduction du son")</f>
        <v xml:space="preserve">   Répondeurs téléphoniques, incorporant un dispositif de reproduction du son</v>
      </c>
      <c r="C5560">
        <v>47220</v>
      </c>
      <c r="D5560">
        <v>45</v>
      </c>
    </row>
    <row r="5561" spans="1:4" x14ac:dyDescent="0.25">
      <c r="A5561" t="str">
        <f>T("   852090")</f>
        <v xml:space="preserve">   852090</v>
      </c>
      <c r="B5561" t="str">
        <f>T("   Appareils d'enregistrement du son, incorporant également un dispositif de reproduction du son (autres qu'appareils d'enregistrement et de reproduction du son utilisant des bandes magnétiques sur bobines)")</f>
        <v xml:space="preserve">   Appareils d'enregistrement du son, incorporant également un dispositif de reproduction du son (autres qu'appareils d'enregistrement et de reproduction du son utilisant des bandes magnétiques sur bobines)</v>
      </c>
      <c r="C5561">
        <v>290591</v>
      </c>
      <c r="D5561">
        <v>2950</v>
      </c>
    </row>
    <row r="5562" spans="1:4" x14ac:dyDescent="0.25">
      <c r="A5562" t="str">
        <f>T("   852190")</f>
        <v xml:space="preserve">   852190</v>
      </c>
      <c r="B5562" t="s">
        <v>462</v>
      </c>
      <c r="C5562">
        <v>599589</v>
      </c>
      <c r="D5562">
        <v>1900.68</v>
      </c>
    </row>
    <row r="5563" spans="1:4" x14ac:dyDescent="0.25">
      <c r="A5563" t="str">
        <f>T("   852320")</f>
        <v xml:space="preserve">   852320</v>
      </c>
      <c r="B5563" t="str">
        <f>T("   DISQUES MAGNÉTIQUES NON-ENREGISTRÉS")</f>
        <v xml:space="preserve">   DISQUES MAGNÉTIQUES NON-ENREGISTRÉS</v>
      </c>
      <c r="C5563">
        <v>347659</v>
      </c>
      <c r="D5563">
        <v>3</v>
      </c>
    </row>
    <row r="5564" spans="1:4" x14ac:dyDescent="0.25">
      <c r="A5564" t="str">
        <f>T("   852330")</f>
        <v xml:space="preserve">   852330</v>
      </c>
      <c r="B5564" t="str">
        <f>T("   Cartes munies d'une piste magnétique non enregistrée")</f>
        <v xml:space="preserve">   Cartes munies d'une piste magnétique non enregistrée</v>
      </c>
      <c r="C5564">
        <v>609327279</v>
      </c>
      <c r="D5564">
        <v>16488.5</v>
      </c>
    </row>
    <row r="5565" spans="1:4" x14ac:dyDescent="0.25">
      <c r="A5565" t="str">
        <f>T("   852390")</f>
        <v xml:space="preserve">   852390</v>
      </c>
      <c r="B5565" t="str">
        <f>T("   SUPPORTS PRÉPARÉS POUR L'ENREGISTREMENT DU SON OU POUR ENREGISTREMENTS ANALOGUES, NON-ENREGISTRÉS (AUTRES QUE BANDES ET DISQUES MAGNÉTIQUES, CARTES MUNIES D'UNE PISTE MAGNÉTIQUE ET PRODUITS DU CHAPITRE 37)")</f>
        <v xml:space="preserve">   SUPPORTS PRÉPARÉS POUR L'ENREGISTREMENT DU SON OU POUR ENREGISTREMENTS ANALOGUES, NON-ENREGISTRÉS (AUTRES QUE BANDES ET DISQUES MAGNÉTIQUES, CARTES MUNIES D'UNE PISTE MAGNÉTIQUE ET PRODUITS DU CHAPITRE 37)</v>
      </c>
      <c r="C5565">
        <v>199440188</v>
      </c>
      <c r="D5565">
        <v>10190.36</v>
      </c>
    </row>
    <row r="5566" spans="1:4" x14ac:dyDescent="0.25">
      <c r="A5566" t="str">
        <f>T("   852431")</f>
        <v xml:space="preserve">   852431</v>
      </c>
      <c r="B5566" t="str">
        <f>T("   Disques enregistrés pour systèmes de lecture optique par faisceau laser, pour la reproduction des phénomènes autres que le son ou l'image")</f>
        <v xml:space="preserve">   Disques enregistrés pour systèmes de lecture optique par faisceau laser, pour la reproduction des phénomènes autres que le son ou l'image</v>
      </c>
      <c r="C5566">
        <v>753344</v>
      </c>
      <c r="D5566">
        <v>1432</v>
      </c>
    </row>
    <row r="5567" spans="1:4" x14ac:dyDescent="0.25">
      <c r="A5567" t="str">
        <f>T("   852432")</f>
        <v xml:space="preserve">   852432</v>
      </c>
      <c r="B5567" t="str">
        <f>T("   Disques enregistrés pour systèmes de lecture optique par faisceau laser, pour la reproduction du son uniquement")</f>
        <v xml:space="preserve">   Disques enregistrés pour systèmes de lecture optique par faisceau laser, pour la reproduction du son uniquement</v>
      </c>
      <c r="C5567">
        <v>1873087</v>
      </c>
      <c r="D5567">
        <v>208</v>
      </c>
    </row>
    <row r="5568" spans="1:4" x14ac:dyDescent="0.25">
      <c r="A5568" t="str">
        <f>T("   852439")</f>
        <v xml:space="preserve">   852439</v>
      </c>
      <c r="B5568" t="str">
        <f>T("   Disques enregistrés pour systèmes de lecture optique par faisceau laser, pour la reproduction du son et de l'image ou de l'image uniquement")</f>
        <v xml:space="preserve">   Disques enregistrés pour systèmes de lecture optique par faisceau laser, pour la reproduction du son et de l'image ou de l'image uniquement</v>
      </c>
      <c r="C5568">
        <v>6932476</v>
      </c>
      <c r="D5568">
        <v>5810.35</v>
      </c>
    </row>
    <row r="5569" spans="1:4" x14ac:dyDescent="0.25">
      <c r="A5569" t="str">
        <f>T("   852453")</f>
        <v xml:space="preserve">   852453</v>
      </c>
      <c r="B5569" t="str">
        <f>T("   Bandes magnétiques pour la reproduction du son ou l'image, enregistrées, largeur &gt; 6,5 mm")</f>
        <v xml:space="preserve">   Bandes magnétiques pour la reproduction du son ou l'image, enregistrées, largeur &gt; 6,5 mm</v>
      </c>
      <c r="C5569">
        <v>1076687</v>
      </c>
      <c r="D5569">
        <v>502</v>
      </c>
    </row>
    <row r="5570" spans="1:4" x14ac:dyDescent="0.25">
      <c r="A5570" t="str">
        <f>T("   852460")</f>
        <v xml:space="preserve">   852460</v>
      </c>
      <c r="B5570" t="str">
        <f>T("   Cartes munies d'une piste magnétique enregistrée")</f>
        <v xml:space="preserve">   Cartes munies d'une piste magnétique enregistrée</v>
      </c>
      <c r="C5570">
        <v>11407400</v>
      </c>
      <c r="D5570">
        <v>376.9</v>
      </c>
    </row>
    <row r="5571" spans="1:4" x14ac:dyDescent="0.25">
      <c r="A5571" t="str">
        <f>T("   852491")</f>
        <v xml:space="preserve">   852491</v>
      </c>
      <c r="B5571" t="s">
        <v>464</v>
      </c>
      <c r="C5571">
        <v>2895407</v>
      </c>
      <c r="D5571">
        <v>3060</v>
      </c>
    </row>
    <row r="5572" spans="1:4" x14ac:dyDescent="0.25">
      <c r="A5572" t="str">
        <f>T("   852499")</f>
        <v xml:space="preserve">   852499</v>
      </c>
      <c r="B5572" t="s">
        <v>465</v>
      </c>
      <c r="C5572">
        <v>3936</v>
      </c>
      <c r="D5572">
        <v>1</v>
      </c>
    </row>
    <row r="5573" spans="1:4" x14ac:dyDescent="0.25">
      <c r="A5573" t="str">
        <f>T("   852510")</f>
        <v xml:space="preserve">   852510</v>
      </c>
      <c r="B5573" t="str">
        <f>T("   Appareils d'émission, pour la radiotéléphonie, la radiotélégraphie, la radiodiffusion ou la télévision")</f>
        <v xml:space="preserve">   Appareils d'émission, pour la radiotéléphonie, la radiotélégraphie, la radiodiffusion ou la télévision</v>
      </c>
      <c r="C5573">
        <v>1695985</v>
      </c>
      <c r="D5573">
        <v>17</v>
      </c>
    </row>
    <row r="5574" spans="1:4" x14ac:dyDescent="0.25">
      <c r="A5574" t="str">
        <f>T("   852520")</f>
        <v xml:space="preserve">   852520</v>
      </c>
      <c r="B5574" t="str">
        <f>T("   Appareils d'émission incorporant un appareil de réception, pour la radiotéléphonie, la radiotélégraphie, la radiodiffusion ou la télévision")</f>
        <v xml:space="preserve">   Appareils d'émission incorporant un appareil de réception, pour la radiotéléphonie, la radiotélégraphie, la radiodiffusion ou la télévision</v>
      </c>
      <c r="C5574">
        <v>6104462</v>
      </c>
      <c r="D5574">
        <v>588</v>
      </c>
    </row>
    <row r="5575" spans="1:4" x14ac:dyDescent="0.25">
      <c r="A5575" t="str">
        <f>T("   852530")</f>
        <v xml:space="preserve">   852530</v>
      </c>
      <c r="B5575" t="str">
        <f>T("   Caméras de télévision (à l'excl. de caméscopes)")</f>
        <v xml:space="preserve">   Caméras de télévision (à l'excl. de caméscopes)</v>
      </c>
      <c r="C5575">
        <v>1850463</v>
      </c>
      <c r="D5575">
        <v>203</v>
      </c>
    </row>
    <row r="5576" spans="1:4" x14ac:dyDescent="0.25">
      <c r="A5576" t="str">
        <f>T("   852540")</f>
        <v xml:space="preserve">   852540</v>
      </c>
      <c r="B5576" t="str">
        <f>T("   Appareils de prise de vues fixes vidéo et autres caméscopes; appareils photographiques numériques")</f>
        <v xml:space="preserve">   Appareils de prise de vues fixes vidéo et autres caméscopes; appareils photographiques numériques</v>
      </c>
      <c r="C5576">
        <v>1268238</v>
      </c>
      <c r="D5576">
        <v>165</v>
      </c>
    </row>
    <row r="5577" spans="1:4" x14ac:dyDescent="0.25">
      <c r="A5577" t="str">
        <f>T("   852713")</f>
        <v xml:space="preserve">   852713</v>
      </c>
      <c r="B5577" t="str">
        <f>T("   RÉCEPTEURS DE RADIODIFFUSION POUVANT FONCTIONNER SANS SOURCE D'ÉNERGIE EXTÉRIEURE, COMBINÉS À UN APPAREIL D'ENREGISTREMENT OU DE REPRODUCTION DU SON (À L'EXCL. DES RADIOCASSETTES DE POCHE)")</f>
        <v xml:space="preserve">   RÉCEPTEURS DE RADIODIFFUSION POUVANT FONCTIONNER SANS SOURCE D'ÉNERGIE EXTÉRIEURE, COMBINÉS À UN APPAREIL D'ENREGISTREMENT OU DE REPRODUCTION DU SON (À L'EXCL. DES RADIOCASSETTES DE POCHE)</v>
      </c>
      <c r="C5577">
        <v>106364</v>
      </c>
      <c r="D5577">
        <v>75</v>
      </c>
    </row>
    <row r="5578" spans="1:4" x14ac:dyDescent="0.25">
      <c r="A5578" t="str">
        <f>T("   852719")</f>
        <v xml:space="preserve">   852719</v>
      </c>
      <c r="B5578" t="str">
        <f>T("   Récepteurs de radiodiffusion pouvant fonctionner sans source d'énergie extérieure, y.c. les appareils recevant également la radiotéléphonie ou la radiotélégraphie, non combinés à un appareil d'enregistrement et de reproduction du son")</f>
        <v xml:space="preserve">   Récepteurs de radiodiffusion pouvant fonctionner sans source d'énergie extérieure, y.c. les appareils recevant également la radiotéléphonie ou la radiotélégraphie, non combinés à un appareil d'enregistrement et de reproduction du son</v>
      </c>
      <c r="C5578">
        <v>2229086</v>
      </c>
      <c r="D5578">
        <v>4922</v>
      </c>
    </row>
    <row r="5579" spans="1:4" x14ac:dyDescent="0.25">
      <c r="A5579" t="str">
        <f>T("   852721")</f>
        <v xml:space="preserve">   852721</v>
      </c>
      <c r="B5579" t="str">
        <f>T("   RÉCEPTEURS DE RADIODIFFUSION NE POUVANT FONCTIONNER QU'AVEC UNE SOURCE D'ÉNERGIE EXTÉRIEURE, POUR VÉHICULES AUTOMOBILES, COMBINÉS À UN APPAREIL D'ENREGISTREMENT OU DE REPRODUCTION DU SON")</f>
        <v xml:space="preserve">   RÉCEPTEURS DE RADIODIFFUSION NE POUVANT FONCTIONNER QU'AVEC UNE SOURCE D'ÉNERGIE EXTÉRIEURE, POUR VÉHICULES AUTOMOBILES, COMBINÉS À UN APPAREIL D'ENREGISTREMENT OU DE REPRODUCTION DU SON</v>
      </c>
      <c r="C5579">
        <v>11078514</v>
      </c>
      <c r="D5579">
        <v>1053</v>
      </c>
    </row>
    <row r="5580" spans="1:4" x14ac:dyDescent="0.25">
      <c r="A5580" t="str">
        <f>T("   852729")</f>
        <v xml:space="preserve">   852729</v>
      </c>
      <c r="B5580" t="s">
        <v>466</v>
      </c>
      <c r="C5580">
        <v>852092</v>
      </c>
      <c r="D5580">
        <v>15</v>
      </c>
    </row>
    <row r="5581" spans="1:4" x14ac:dyDescent="0.25">
      <c r="A5581" t="str">
        <f>T("   852790")</f>
        <v xml:space="preserve">   852790</v>
      </c>
      <c r="B5581" t="str">
        <f>T("   Récepteurs pour la radiotéléphonie, la radiotélégraphie ou la radiodiffusion commerciale")</f>
        <v xml:space="preserve">   Récepteurs pour la radiotéléphonie, la radiotélégraphie ou la radiodiffusion commerciale</v>
      </c>
      <c r="C5581">
        <v>18527</v>
      </c>
      <c r="D5581">
        <v>16</v>
      </c>
    </row>
    <row r="5582" spans="1:4" x14ac:dyDescent="0.25">
      <c r="A5582" t="str">
        <f>T("   852812")</f>
        <v xml:space="preserve">   852812</v>
      </c>
      <c r="B5582"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5582">
        <v>181986408</v>
      </c>
      <c r="D5582">
        <v>49198.9</v>
      </c>
    </row>
    <row r="5583" spans="1:4" x14ac:dyDescent="0.25">
      <c r="A5583" t="str">
        <f>T("   852813")</f>
        <v xml:space="preserve">   852813</v>
      </c>
      <c r="B5583" t="str">
        <f>T("   Appareils récepteurs pour la télévision en noir et blanc ou en autres monochromes, même incorporant un appareil récepteur de radiodiffusion ou un appareil d'enregistrement ou de reproduction du son ou des images")</f>
        <v xml:space="preserve">   Appareils récepteurs pour la télévision en noir et blanc ou en autres monochromes, même incorporant un appareil récepteur de radiodiffusion ou un appareil d'enregistrement ou de reproduction du son ou des images</v>
      </c>
      <c r="C5583">
        <v>4239573</v>
      </c>
      <c r="D5583">
        <v>1507.5</v>
      </c>
    </row>
    <row r="5584" spans="1:4" x14ac:dyDescent="0.25">
      <c r="A5584" t="str">
        <f>T("   852820")</f>
        <v xml:space="preserve">   852820</v>
      </c>
      <c r="B5584" t="s">
        <v>470</v>
      </c>
      <c r="C5584">
        <v>525000</v>
      </c>
      <c r="D5584">
        <v>276</v>
      </c>
    </row>
    <row r="5585" spans="1:4" x14ac:dyDescent="0.25">
      <c r="A5585" t="str">
        <f>T("   852821")</f>
        <v xml:space="preserve">   852821</v>
      </c>
      <c r="B5585" t="str">
        <f>T("   Moniteurs vidéo en couleurs")</f>
        <v xml:space="preserve">   Moniteurs vidéo en couleurs</v>
      </c>
      <c r="C5585">
        <v>200068</v>
      </c>
      <c r="D5585">
        <v>196</v>
      </c>
    </row>
    <row r="5586" spans="1:4" x14ac:dyDescent="0.25">
      <c r="A5586" t="str">
        <f>T("   852830")</f>
        <v xml:space="preserve">   852830</v>
      </c>
      <c r="B5586" t="str">
        <f>T("   Projecteurs vidéo")</f>
        <v xml:space="preserve">   Projecteurs vidéo</v>
      </c>
      <c r="C5586">
        <v>4308134</v>
      </c>
      <c r="D5586">
        <v>204</v>
      </c>
    </row>
    <row r="5587" spans="1:4" x14ac:dyDescent="0.25">
      <c r="A5587" t="str">
        <f>T("   852910")</f>
        <v xml:space="preserve">   852910</v>
      </c>
      <c r="B5587"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5587">
        <v>41617851</v>
      </c>
      <c r="D5587">
        <v>13239.64</v>
      </c>
    </row>
    <row r="5588" spans="1:4" x14ac:dyDescent="0.25">
      <c r="A5588" t="str">
        <f>T("   852990")</f>
        <v xml:space="preserve">   852990</v>
      </c>
      <c r="B5588" t="s">
        <v>471</v>
      </c>
      <c r="C5588">
        <v>133209357</v>
      </c>
      <c r="D5588">
        <v>3646.9</v>
      </c>
    </row>
    <row r="5589" spans="1:4" x14ac:dyDescent="0.25">
      <c r="A5589" t="str">
        <f>T("   853080")</f>
        <v xml:space="preserve">   853080</v>
      </c>
      <c r="B5589" t="str">
        <f>T("   Appareils électriques de signalisation (autres que pour la transmission de messages), de sécurité, de contrôle ou de commande (autres que pour voies ferrées ou simil. et que les appareils mécaniques ou électromécaniques du n° 8608)")</f>
        <v xml:space="preserve">   Appareils électriques de signalisation (autres que pour la transmission de messages), de sécurité, de contrôle ou de commande (autres que pour voies ferrées ou simil. et que les appareils mécaniques ou électromécaniques du n° 8608)</v>
      </c>
      <c r="C5589">
        <v>34139648</v>
      </c>
      <c r="D5589">
        <v>4626.8999999999996</v>
      </c>
    </row>
    <row r="5590" spans="1:4" x14ac:dyDescent="0.25">
      <c r="A5590" t="str">
        <f>T("   853110")</f>
        <v xml:space="preserve">   853110</v>
      </c>
      <c r="B5590" t="str">
        <f>T("   Avertisseurs électriques pour la protection contre le vol ou l'incendie et appareils simil.")</f>
        <v xml:space="preserve">   Avertisseurs électriques pour la protection contre le vol ou l'incendie et appareils simil.</v>
      </c>
      <c r="C5590">
        <v>8297215</v>
      </c>
      <c r="D5590">
        <v>346</v>
      </c>
    </row>
    <row r="5591" spans="1:4" x14ac:dyDescent="0.25">
      <c r="A5591" t="str">
        <f>T("   853180")</f>
        <v xml:space="preserve">   853180</v>
      </c>
      <c r="B5591" t="s">
        <v>472</v>
      </c>
      <c r="C5591">
        <v>15802074</v>
      </c>
      <c r="D5591">
        <v>591</v>
      </c>
    </row>
    <row r="5592" spans="1:4" x14ac:dyDescent="0.25">
      <c r="A5592" t="str">
        <f>T("   853190")</f>
        <v xml:space="preserve">   853190</v>
      </c>
      <c r="B5592" t="str">
        <f>T("   Parties des appareils électriques de signalisation acoustique ou visuelle, n.d.a.")</f>
        <v xml:space="preserve">   Parties des appareils électriques de signalisation acoustique ou visuelle, n.d.a.</v>
      </c>
      <c r="C5592">
        <v>15161223</v>
      </c>
      <c r="D5592">
        <v>101</v>
      </c>
    </row>
    <row r="5593" spans="1:4" x14ac:dyDescent="0.25">
      <c r="A5593" t="str">
        <f>T("   853210")</f>
        <v xml:space="preserve">   853210</v>
      </c>
      <c r="B5593" t="str">
        <f>T("   Condensateurs électriques fixes conçus pour les réseaux électriques de 50/60 Hz et capables d'absorber une puissance réactive &gt;= 0,5 kvar [condensateurs de puissance]")</f>
        <v xml:space="preserve">   Condensateurs électriques fixes conçus pour les réseaux électriques de 50/60 Hz et capables d'absorber une puissance réactive &gt;= 0,5 kvar [condensateurs de puissance]</v>
      </c>
      <c r="C5593">
        <v>226306</v>
      </c>
      <c r="D5593">
        <v>177</v>
      </c>
    </row>
    <row r="5594" spans="1:4" x14ac:dyDescent="0.25">
      <c r="A5594" t="str">
        <f>T("   853229")</f>
        <v xml:space="preserve">   853229</v>
      </c>
      <c r="B5594" t="str">
        <f>T("   Condensateurs fixes (autres que condensateurs au tantale, condensateurs électrolytiques à l'aluminium, condensateurs diélectriques en céramique, en papier et en matières plastiques et condensateurs de puissance)")</f>
        <v xml:space="preserve">   Condensateurs fixes (autres que condensateurs au tantale, condensateurs électrolytiques à l'aluminium, condensateurs diélectriques en céramique, en papier et en matières plastiques et condensateurs de puissance)</v>
      </c>
      <c r="C5594">
        <v>7515334</v>
      </c>
      <c r="D5594">
        <v>314</v>
      </c>
    </row>
    <row r="5595" spans="1:4" x14ac:dyDescent="0.25">
      <c r="A5595" t="str">
        <f>T("   853230")</f>
        <v xml:space="preserve">   853230</v>
      </c>
      <c r="B5595" t="str">
        <f>T("   Condensateurs électriques variables ou ajustables")</f>
        <v xml:space="preserve">   Condensateurs électriques variables ou ajustables</v>
      </c>
      <c r="C5595">
        <v>882923</v>
      </c>
      <c r="D5595">
        <v>160</v>
      </c>
    </row>
    <row r="5596" spans="1:4" x14ac:dyDescent="0.25">
      <c r="A5596" t="str">
        <f>T("   853329")</f>
        <v xml:space="preserve">   853329</v>
      </c>
      <c r="B5596" t="str">
        <f>T("   Résistances électriques fixes, pour une puissance &gt; 20 W (non chauffantes)")</f>
        <v xml:space="preserve">   Résistances électriques fixes, pour une puissance &gt; 20 W (non chauffantes)</v>
      </c>
      <c r="C5596">
        <v>4992413</v>
      </c>
      <c r="D5596">
        <v>288</v>
      </c>
    </row>
    <row r="5597" spans="1:4" x14ac:dyDescent="0.25">
      <c r="A5597" t="str">
        <f>T("   853339")</f>
        <v xml:space="preserve">   853339</v>
      </c>
      <c r="B5597" t="str">
        <f>T("   Résistances électriques variables 'y compris les rhéostats et les potentiomètres', bobinées, pour une puissance &gt; 20 W (non chauffantes)")</f>
        <v xml:space="preserve">   Résistances électriques variables 'y compris les rhéostats et les potentiomètres', bobinées, pour une puissance &gt; 20 W (non chauffantes)</v>
      </c>
      <c r="C5597">
        <v>115449</v>
      </c>
      <c r="D5597">
        <v>1</v>
      </c>
    </row>
    <row r="5598" spans="1:4" x14ac:dyDescent="0.25">
      <c r="A5598" t="str">
        <f>T("   853340")</f>
        <v xml:space="preserve">   853340</v>
      </c>
      <c r="B5598" t="str">
        <f>T("   RÉSISTANCES ÉLECTRIQUES VARIABLES 'Y.C. LES RHÉOSTATS ET LES POTENTIOMÈTRES' (AUTRES QUE RÉSISTANCES VARIABLES BOBINÉES ET RÉSISTANCES CHAUFFANTES)")</f>
        <v xml:space="preserve">   RÉSISTANCES ÉLECTRIQUES VARIABLES 'Y.C. LES RHÉOSTATS ET LES POTENTIOMÈTRES' (AUTRES QUE RÉSISTANCES VARIABLES BOBINÉES ET RÉSISTANCES CHAUFFANTES)</v>
      </c>
      <c r="C5598">
        <v>1492165</v>
      </c>
      <c r="D5598">
        <v>13</v>
      </c>
    </row>
    <row r="5599" spans="1:4" x14ac:dyDescent="0.25">
      <c r="A5599" t="str">
        <f>T("   853400")</f>
        <v xml:space="preserve">   853400</v>
      </c>
      <c r="B5599" t="str">
        <f>T("   Circuits imprimés")</f>
        <v xml:space="preserve">   Circuits imprimés</v>
      </c>
      <c r="C5599">
        <v>2446732</v>
      </c>
      <c r="D5599">
        <v>11</v>
      </c>
    </row>
    <row r="5600" spans="1:4" x14ac:dyDescent="0.25">
      <c r="A5600" t="str">
        <f>T("   853510")</f>
        <v xml:space="preserve">   853510</v>
      </c>
      <c r="B5600" t="str">
        <f>T("   Fusibles et coupe-circuit à fusibles, pour une tension &gt; 1.000 V")</f>
        <v xml:space="preserve">   Fusibles et coupe-circuit à fusibles, pour une tension &gt; 1.000 V</v>
      </c>
      <c r="C5600">
        <v>59030935</v>
      </c>
      <c r="D5600">
        <v>11308</v>
      </c>
    </row>
    <row r="5601" spans="1:4" x14ac:dyDescent="0.25">
      <c r="A5601" t="str">
        <f>T("   853529")</f>
        <v xml:space="preserve">   853529</v>
      </c>
      <c r="B5601" t="str">
        <f>T("   Disjoncteurs, pour une tension &gt;= 72,5 kV")</f>
        <v xml:space="preserve">   Disjoncteurs, pour une tension &gt;= 72,5 kV</v>
      </c>
      <c r="C5601">
        <v>1560227</v>
      </c>
      <c r="D5601">
        <v>18.2</v>
      </c>
    </row>
    <row r="5602" spans="1:4" x14ac:dyDescent="0.25">
      <c r="A5602" t="str">
        <f>T("   853530")</f>
        <v xml:space="preserve">   853530</v>
      </c>
      <c r="B5602" t="str">
        <f>T("   Sectionneurs et interrupteurs, pour une tension &gt; 1.000 V")</f>
        <v xml:space="preserve">   Sectionneurs et interrupteurs, pour une tension &gt; 1.000 V</v>
      </c>
      <c r="C5602">
        <v>86773624</v>
      </c>
      <c r="D5602">
        <v>13502</v>
      </c>
    </row>
    <row r="5603" spans="1:4" x14ac:dyDescent="0.25">
      <c r="A5603" t="str">
        <f>T("   853540")</f>
        <v xml:space="preserve">   853540</v>
      </c>
      <c r="B5603" t="str">
        <f>T("   Parafoudres, limiteurs de tension et étaleurs d'ondes, pour une tension &gt; 1.000 V")</f>
        <v xml:space="preserve">   Parafoudres, limiteurs de tension et étaleurs d'ondes, pour une tension &gt; 1.000 V</v>
      </c>
      <c r="C5603">
        <v>45107901</v>
      </c>
      <c r="D5603">
        <v>4596</v>
      </c>
    </row>
    <row r="5604" spans="1:4" x14ac:dyDescent="0.25">
      <c r="A5604" t="str">
        <f>T("   853590")</f>
        <v xml:space="preserve">   853590</v>
      </c>
      <c r="B5604" t="s">
        <v>473</v>
      </c>
      <c r="C5604">
        <v>51735820</v>
      </c>
      <c r="D5604">
        <v>7848</v>
      </c>
    </row>
    <row r="5605" spans="1:4" x14ac:dyDescent="0.25">
      <c r="A5605" t="str">
        <f>T("   853610")</f>
        <v xml:space="preserve">   853610</v>
      </c>
      <c r="B5605" t="str">
        <f>T("   Fusibles et coupe-circuit à fusibles, pour une tension &lt;= 1.000 V")</f>
        <v xml:space="preserve">   Fusibles et coupe-circuit à fusibles, pour une tension &lt;= 1.000 V</v>
      </c>
      <c r="C5605">
        <v>3641418</v>
      </c>
      <c r="D5605">
        <v>320</v>
      </c>
    </row>
    <row r="5606" spans="1:4" x14ac:dyDescent="0.25">
      <c r="A5606" t="str">
        <f>T("   853620")</f>
        <v xml:space="preserve">   853620</v>
      </c>
      <c r="B5606" t="str">
        <f>T("   Disjoncteurs, pour une tension &lt;= 1.000 V")</f>
        <v xml:space="preserve">   Disjoncteurs, pour une tension &lt;= 1.000 V</v>
      </c>
      <c r="C5606">
        <v>481652881</v>
      </c>
      <c r="D5606">
        <v>31136.11</v>
      </c>
    </row>
    <row r="5607" spans="1:4" x14ac:dyDescent="0.25">
      <c r="A5607" t="str">
        <f>T("   853630")</f>
        <v xml:space="preserve">   853630</v>
      </c>
      <c r="B5607" t="str">
        <f>T("   APPAREILS POUR LA PROTECTION DES CIRCUITS ÉLECTRIQUES (SAUF FUSIBLES, COUPE-CIRCUIT À FUSIBLES ET DISJONCTEURS), POUR UNE TENSION &lt;= 1.000 V")</f>
        <v xml:space="preserve">   APPAREILS POUR LA PROTECTION DES CIRCUITS ÉLECTRIQUES (SAUF FUSIBLES, COUPE-CIRCUIT À FUSIBLES ET DISJONCTEURS), POUR UNE TENSION &lt;= 1.000 V</v>
      </c>
      <c r="C5607">
        <v>6730811</v>
      </c>
      <c r="D5607">
        <v>479.88</v>
      </c>
    </row>
    <row r="5608" spans="1:4" x14ac:dyDescent="0.25">
      <c r="A5608" t="str">
        <f>T("   853641")</f>
        <v xml:space="preserve">   853641</v>
      </c>
      <c r="B5608" t="str">
        <f>T("   Relais pour une tension &lt;= 60 V")</f>
        <v xml:space="preserve">   Relais pour une tension &lt;= 60 V</v>
      </c>
      <c r="C5608">
        <v>5810822</v>
      </c>
      <c r="D5608">
        <v>94.4</v>
      </c>
    </row>
    <row r="5609" spans="1:4" x14ac:dyDescent="0.25">
      <c r="A5609" t="str">
        <f>T("   853649")</f>
        <v xml:space="preserve">   853649</v>
      </c>
      <c r="B5609" t="str">
        <f>T("   Relais, pour une tension &gt; 60 V mais &lt;= 1.000 V")</f>
        <v xml:space="preserve">   Relais, pour une tension &gt; 60 V mais &lt;= 1.000 V</v>
      </c>
      <c r="C5609">
        <v>33098906</v>
      </c>
      <c r="D5609">
        <v>1119.5</v>
      </c>
    </row>
    <row r="5610" spans="1:4" x14ac:dyDescent="0.25">
      <c r="A5610" t="str">
        <f>T("   853650")</f>
        <v xml:space="preserve">   853650</v>
      </c>
      <c r="B5610" t="str">
        <f>T("   Interrupteurs, sectionneurs et commutateurs, pour une tension &lt;= 1.000 V (autres que relais et disjoncteurs)")</f>
        <v xml:space="preserve">   Interrupteurs, sectionneurs et commutateurs, pour une tension &lt;= 1.000 V (autres que relais et disjoncteurs)</v>
      </c>
      <c r="C5610">
        <v>54254048</v>
      </c>
      <c r="D5610">
        <v>8451.57</v>
      </c>
    </row>
    <row r="5611" spans="1:4" x14ac:dyDescent="0.25">
      <c r="A5611" t="str">
        <f>T("   853661")</f>
        <v xml:space="preserve">   853661</v>
      </c>
      <c r="B5611" t="str">
        <f>T("   Douilles pour lampes, pour une tension &lt;= 1.000 V")</f>
        <v xml:space="preserve">   Douilles pour lampes, pour une tension &lt;= 1.000 V</v>
      </c>
      <c r="C5611">
        <v>825198</v>
      </c>
      <c r="D5611">
        <v>242</v>
      </c>
    </row>
    <row r="5612" spans="1:4" x14ac:dyDescent="0.25">
      <c r="A5612" t="str">
        <f>T("   853669")</f>
        <v xml:space="preserve">   853669</v>
      </c>
      <c r="B5612" t="str">
        <f>T("   Fiches et prises de courant, pour une tension &lt;= 1.000 V (sauf douilles pour lampes)")</f>
        <v xml:space="preserve">   Fiches et prises de courant, pour une tension &lt;= 1.000 V (sauf douilles pour lampes)</v>
      </c>
      <c r="C5612">
        <v>80288940</v>
      </c>
      <c r="D5612">
        <v>12458</v>
      </c>
    </row>
    <row r="5613" spans="1:4" x14ac:dyDescent="0.25">
      <c r="A5613" t="str">
        <f>T("   853690")</f>
        <v xml:space="preserve">   853690</v>
      </c>
      <c r="B5613" t="s">
        <v>474</v>
      </c>
      <c r="C5613">
        <v>267252207</v>
      </c>
      <c r="D5613">
        <v>19749.5</v>
      </c>
    </row>
    <row r="5614" spans="1:4" x14ac:dyDescent="0.25">
      <c r="A5614" t="str">
        <f>T("   853710")</f>
        <v xml:space="preserve">   853710</v>
      </c>
      <c r="B5614"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5614">
        <v>302326380</v>
      </c>
      <c r="D5614">
        <v>55365.8</v>
      </c>
    </row>
    <row r="5615" spans="1:4" x14ac:dyDescent="0.25">
      <c r="A5615" t="str">
        <f>T("   853720")</f>
        <v xml:space="preserve">   853720</v>
      </c>
      <c r="B5615"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5615">
        <v>610682203</v>
      </c>
      <c r="D5615">
        <v>69455</v>
      </c>
    </row>
    <row r="5616" spans="1:4" x14ac:dyDescent="0.25">
      <c r="A5616" t="str">
        <f>T("   853810")</f>
        <v xml:space="preserve">   853810</v>
      </c>
      <c r="B5616" t="str">
        <f>T("   Tableaux, panneaux, consoles, pupitres, armoires et autres supports pour articles du n° 8537, dépourvus de leurs appareils")</f>
        <v xml:space="preserve">   Tableaux, panneaux, consoles, pupitres, armoires et autres supports pour articles du n° 8537, dépourvus de leurs appareils</v>
      </c>
      <c r="C5616">
        <v>132419641</v>
      </c>
      <c r="D5616">
        <v>25111</v>
      </c>
    </row>
    <row r="5617" spans="1:4" x14ac:dyDescent="0.25">
      <c r="A5617" t="str">
        <f>T("   853890")</f>
        <v xml:space="preserve">   853890</v>
      </c>
      <c r="B5617" t="s">
        <v>475</v>
      </c>
      <c r="C5617">
        <v>181773452</v>
      </c>
      <c r="D5617">
        <v>19837.990000000002</v>
      </c>
    </row>
    <row r="5618" spans="1:4" x14ac:dyDescent="0.25">
      <c r="A5618" t="str">
        <f>T("   853910")</f>
        <v xml:space="preserve">   853910</v>
      </c>
      <c r="B5618" t="str">
        <f>T("   Phares et projecteurs scellés")</f>
        <v xml:space="preserve">   Phares et projecteurs scellés</v>
      </c>
      <c r="C5618">
        <v>629033</v>
      </c>
      <c r="D5618">
        <v>195.55</v>
      </c>
    </row>
    <row r="5619" spans="1:4" x14ac:dyDescent="0.25">
      <c r="A5619" t="str">
        <f>T("   853921")</f>
        <v xml:space="preserve">   853921</v>
      </c>
      <c r="B5619" t="str">
        <f>T("   Lampes et tubes halogènes, au tungstène (autres que phares et projecteurs scellés)")</f>
        <v xml:space="preserve">   Lampes et tubes halogènes, au tungstène (autres que phares et projecteurs scellés)</v>
      </c>
      <c r="C5619">
        <v>1262165</v>
      </c>
      <c r="D5619">
        <v>1985</v>
      </c>
    </row>
    <row r="5620" spans="1:4" x14ac:dyDescent="0.25">
      <c r="A5620" t="str">
        <f>T("   853922")</f>
        <v xml:space="preserve">   853922</v>
      </c>
      <c r="B5620" t="str">
        <f>T("   Lampes et tubes à incandescence, puissance &lt;= 200 W, tension &gt; 100 V (autres que lampes et tubes halogènes, au tungstène et lampes à rayons ultraviolets ou infrarouges)")</f>
        <v xml:space="preserve">   Lampes et tubes à incandescence, puissance &lt;= 200 W, tension &gt; 100 V (autres que lampes et tubes halogènes, au tungstène et lampes à rayons ultraviolets ou infrarouges)</v>
      </c>
      <c r="C5620">
        <v>274336</v>
      </c>
      <c r="D5620">
        <v>26</v>
      </c>
    </row>
    <row r="5621" spans="1:4" x14ac:dyDescent="0.25">
      <c r="A5621" t="str">
        <f>T("   853929")</f>
        <v xml:space="preserve">   853929</v>
      </c>
      <c r="B5621" t="str">
        <f>T("   Lampes et tubes à incandescence électriques (autres que lampes et tubes halogènes, au tungstène, lampes d'une puissance &lt;= 200 W et pour une tension &gt; 100 V, et lampes à rayons ultraviolets ou infrarouges)")</f>
        <v xml:space="preserve">   Lampes et tubes à incandescence électriques (autres que lampes et tubes halogènes, au tungstène, lampes d'une puissance &lt;= 200 W et pour une tension &gt; 100 V, et lampes à rayons ultraviolets ou infrarouges)</v>
      </c>
      <c r="C5621">
        <v>9143950</v>
      </c>
      <c r="D5621">
        <v>1065.5</v>
      </c>
    </row>
    <row r="5622" spans="1:4" x14ac:dyDescent="0.25">
      <c r="A5622" t="str">
        <f>T("   853931")</f>
        <v xml:space="preserve">   853931</v>
      </c>
      <c r="B5622" t="str">
        <f>T("   Lampes et tubes à décharge, fluorescents, à cathode chaude")</f>
        <v xml:space="preserve">   Lampes et tubes à décharge, fluorescents, à cathode chaude</v>
      </c>
      <c r="C5622">
        <v>32132685</v>
      </c>
      <c r="D5622">
        <v>6937</v>
      </c>
    </row>
    <row r="5623" spans="1:4" x14ac:dyDescent="0.25">
      <c r="A5623" t="str">
        <f>T("   853932")</f>
        <v xml:space="preserve">   853932</v>
      </c>
      <c r="B5623" t="str">
        <f>T("   Lampes à vapeur de mercure ou de sodium; lampes à halogénure métallique")</f>
        <v xml:space="preserve">   Lampes à vapeur de mercure ou de sodium; lampes à halogénure métallique</v>
      </c>
      <c r="C5623">
        <v>12952585</v>
      </c>
      <c r="D5623">
        <v>1800</v>
      </c>
    </row>
    <row r="5624" spans="1:4" x14ac:dyDescent="0.25">
      <c r="A5624" t="str">
        <f>T("   853939")</f>
        <v xml:space="preserve">   853939</v>
      </c>
      <c r="B5624" t="str">
        <f>T("   Lampes et tubes à décharge (autres que fluorescents, à cathode chaude, à vapeur de mercure ou de sodium, à halogénure métallique et qu'à rayons ultraviolets)")</f>
        <v xml:space="preserve">   Lampes et tubes à décharge (autres que fluorescents, à cathode chaude, à vapeur de mercure ou de sodium, à halogénure métallique et qu'à rayons ultraviolets)</v>
      </c>
      <c r="C5624">
        <v>14309077</v>
      </c>
      <c r="D5624">
        <v>2960</v>
      </c>
    </row>
    <row r="5625" spans="1:4" x14ac:dyDescent="0.25">
      <c r="A5625" t="str">
        <f>T("   853949")</f>
        <v xml:space="preserve">   853949</v>
      </c>
      <c r="B5625" t="str">
        <f>T("   Lampes et tubes à rayons ultraviolets ou infrarouges")</f>
        <v xml:space="preserve">   Lampes et tubes à rayons ultraviolets ou infrarouges</v>
      </c>
      <c r="C5625">
        <v>6223320</v>
      </c>
      <c r="D5625">
        <v>371</v>
      </c>
    </row>
    <row r="5626" spans="1:4" x14ac:dyDescent="0.25">
      <c r="A5626" t="str">
        <f>T("   853990")</f>
        <v xml:space="preserve">   853990</v>
      </c>
      <c r="B5626" t="str">
        <f>T("   Parties de lampes et de tubes à incandescence ou à décharge, de phares et projecteurs scellés, de lampes à rayons ultraviolets et infrarouges et de lampes à arc, n.d.a.")</f>
        <v xml:space="preserve">   Parties de lampes et de tubes à incandescence ou à décharge, de phares et projecteurs scellés, de lampes à rayons ultraviolets et infrarouges et de lampes à arc, n.d.a.</v>
      </c>
      <c r="C5626">
        <v>627759</v>
      </c>
      <c r="D5626">
        <v>265.8</v>
      </c>
    </row>
    <row r="5627" spans="1:4" x14ac:dyDescent="0.25">
      <c r="A5627" t="str">
        <f>T("   854110")</f>
        <v xml:space="preserve">   854110</v>
      </c>
      <c r="B5627" t="str">
        <f>T("   Diodes (sauf photodiodes et diodes émettrices de lumière)")</f>
        <v xml:space="preserve">   Diodes (sauf photodiodes et diodes émettrices de lumière)</v>
      </c>
      <c r="C5627">
        <v>1049628</v>
      </c>
      <c r="D5627">
        <v>109</v>
      </c>
    </row>
    <row r="5628" spans="1:4" x14ac:dyDescent="0.25">
      <c r="A5628" t="str">
        <f>T("   854140")</f>
        <v xml:space="preserve">   854140</v>
      </c>
      <c r="B5628" t="str">
        <f>T("   Dispositifs photosensibles à semi-conducteur, y.c. les cellules photovoltaïques même assemblées en modules ou constituées en panneaux; diodes émettrices de lumière (sauf génératrices photovoltaïques)")</f>
        <v xml:space="preserve">   Dispositifs photosensibles à semi-conducteur, y.c. les cellules photovoltaïques même assemblées en modules ou constituées en panneaux; diodes émettrices de lumière (sauf génératrices photovoltaïques)</v>
      </c>
      <c r="C5628">
        <v>122035309</v>
      </c>
      <c r="D5628">
        <v>35244</v>
      </c>
    </row>
    <row r="5629" spans="1:4" x14ac:dyDescent="0.25">
      <c r="A5629" t="str">
        <f>T("   854210")</f>
        <v xml:space="preserve">   854210</v>
      </c>
      <c r="B5629" t="str">
        <f>T("   Cartes munies d'un circuit intégré électronique [cartes intelligentes], munies ou non d'une piste magnétique")</f>
        <v xml:space="preserve">   Cartes munies d'un circuit intégré électronique [cartes intelligentes], munies ou non d'une piste magnétique</v>
      </c>
      <c r="C5629">
        <v>126522512</v>
      </c>
      <c r="D5629">
        <v>1893</v>
      </c>
    </row>
    <row r="5630" spans="1:4" x14ac:dyDescent="0.25">
      <c r="A5630" t="str">
        <f>T("   854221")</f>
        <v xml:space="preserve">   854221</v>
      </c>
      <c r="B5630" t="str">
        <f>T("   Circuits intégrés monolithiques, numériques (à l'excl. des cartes munies d'un circuit intégré électronique [cartes intelligentes])")</f>
        <v xml:space="preserve">   Circuits intégrés monolithiques, numériques (à l'excl. des cartes munies d'un circuit intégré électronique [cartes intelligentes])</v>
      </c>
      <c r="C5630">
        <v>21595516</v>
      </c>
      <c r="D5630">
        <v>422</v>
      </c>
    </row>
    <row r="5631" spans="1:4" x14ac:dyDescent="0.25">
      <c r="A5631" t="str">
        <f>T("   854229")</f>
        <v xml:space="preserve">   854229</v>
      </c>
      <c r="B5631" t="str">
        <f>T("   Circuits intégrés monolithiques, analogiques ou analogiques-numériques")</f>
        <v xml:space="preserve">   Circuits intégrés monolithiques, analogiques ou analogiques-numériques</v>
      </c>
      <c r="C5631">
        <v>1404411</v>
      </c>
      <c r="D5631">
        <v>100</v>
      </c>
    </row>
    <row r="5632" spans="1:4" x14ac:dyDescent="0.25">
      <c r="A5632" t="str">
        <f>T("   854270")</f>
        <v xml:space="preserve">   854270</v>
      </c>
      <c r="B5632" t="str">
        <f>T("   Micro-assemblages électroniques formés de composants discrets, actifs ou actifs et passifs, inséparables")</f>
        <v xml:space="preserve">   Micro-assemblages électroniques formés de composants discrets, actifs ou actifs et passifs, inséparables</v>
      </c>
      <c r="C5632">
        <v>106500</v>
      </c>
      <c r="D5632">
        <v>27</v>
      </c>
    </row>
    <row r="5633" spans="1:4" x14ac:dyDescent="0.25">
      <c r="A5633" t="str">
        <f>T("   854319")</f>
        <v xml:space="preserve">   854319</v>
      </c>
      <c r="B5633" t="str">
        <f>T("   Accélérateurs de particules pour électrons, protons etc., électriques (à l'excl. des appareils d'implantation ionique pour doper les matières semi-conductrices)")</f>
        <v xml:space="preserve">   Accélérateurs de particules pour électrons, protons etc., électriques (à l'excl. des appareils d'implantation ionique pour doper les matières semi-conductrices)</v>
      </c>
      <c r="C5633">
        <v>110000</v>
      </c>
      <c r="D5633">
        <v>57</v>
      </c>
    </row>
    <row r="5634" spans="1:4" x14ac:dyDescent="0.25">
      <c r="A5634" t="str">
        <f>T("   854381")</f>
        <v xml:space="preserve">   854381</v>
      </c>
      <c r="B5634" t="str">
        <f>T("   Cartes et étiquettes à déclenchement par effet de proximité, constituées par un circuit intégré à mémoire morte relié à une antenne imprimée")</f>
        <v xml:space="preserve">   Cartes et étiquettes à déclenchement par effet de proximité, constituées par un circuit intégré à mémoire morte relié à une antenne imprimée</v>
      </c>
      <c r="C5634">
        <v>20413</v>
      </c>
      <c r="D5634">
        <v>1</v>
      </c>
    </row>
    <row r="5635" spans="1:4" x14ac:dyDescent="0.25">
      <c r="A5635" t="str">
        <f>T("   854389")</f>
        <v xml:space="preserve">   854389</v>
      </c>
      <c r="B5635" t="str">
        <f>T("   MACHINES ET APPAREILS ÉLECTRIQUES AYANT UNE FONCTION PROPRE, N.D.A. DANS LE CHAPITRE 85")</f>
        <v xml:space="preserve">   MACHINES ET APPAREILS ÉLECTRIQUES AYANT UNE FONCTION PROPRE, N.D.A. DANS LE CHAPITRE 85</v>
      </c>
      <c r="C5635">
        <v>28198943</v>
      </c>
      <c r="D5635">
        <v>4301</v>
      </c>
    </row>
    <row r="5636" spans="1:4" x14ac:dyDescent="0.25">
      <c r="A5636" t="str">
        <f>T("   854390")</f>
        <v xml:space="preserve">   854390</v>
      </c>
      <c r="B5636" t="str">
        <f>T("   PARTIES DE MACHINES ET APPAREILS ÉLECTRIQUES AYANT UNE FONCTION PROPRE, N.D.A. DANS LE CHAPITRE 85")</f>
        <v xml:space="preserve">   PARTIES DE MACHINES ET APPAREILS ÉLECTRIQUES AYANT UNE FONCTION PROPRE, N.D.A. DANS LE CHAPITRE 85</v>
      </c>
      <c r="C5636">
        <v>947146</v>
      </c>
      <c r="D5636">
        <v>2051</v>
      </c>
    </row>
    <row r="5637" spans="1:4" x14ac:dyDescent="0.25">
      <c r="A5637" t="str">
        <f>T("   854411")</f>
        <v xml:space="preserve">   854411</v>
      </c>
      <c r="B5637" t="str">
        <f>T("   Fils pour bobinages pour l'électricité, en cuivre, isolés")</f>
        <v xml:space="preserve">   Fils pour bobinages pour l'électricité, en cuivre, isolés</v>
      </c>
      <c r="C5637">
        <v>5639460</v>
      </c>
      <c r="D5637">
        <v>2621</v>
      </c>
    </row>
    <row r="5638" spans="1:4" x14ac:dyDescent="0.25">
      <c r="A5638" t="str">
        <f>T("   854419")</f>
        <v xml:space="preserve">   854419</v>
      </c>
      <c r="B5638" t="str">
        <f>T("   Fils pour bobinages pour l'électricité, autres qu'en cuivre, isolés")</f>
        <v xml:space="preserve">   Fils pour bobinages pour l'électricité, autres qu'en cuivre, isolés</v>
      </c>
      <c r="C5638">
        <v>145114</v>
      </c>
      <c r="D5638">
        <v>129</v>
      </c>
    </row>
    <row r="5639" spans="1:4" x14ac:dyDescent="0.25">
      <c r="A5639" t="str">
        <f>T("   854420")</f>
        <v xml:space="preserve">   854420</v>
      </c>
      <c r="B5639" t="str">
        <f>T("   Câbles coaxiaux et autres conducteurs électriques coaxiaux, isolés")</f>
        <v xml:space="preserve">   Câbles coaxiaux et autres conducteurs électriques coaxiaux, isolés</v>
      </c>
      <c r="C5639">
        <v>66575969</v>
      </c>
      <c r="D5639">
        <v>27624.84</v>
      </c>
    </row>
    <row r="5640" spans="1:4" x14ac:dyDescent="0.25">
      <c r="A5640" t="str">
        <f>T("   854441")</f>
        <v xml:space="preserve">   854441</v>
      </c>
      <c r="B5640" t="str">
        <f>T("   Conducteurs électriques, pour tension &lt;= 80 V, isolés, avec pièces de connexion, n.d.a.")</f>
        <v xml:space="preserve">   Conducteurs électriques, pour tension &lt;= 80 V, isolés, avec pièces de connexion, n.d.a.</v>
      </c>
      <c r="C5640">
        <v>153891016</v>
      </c>
      <c r="D5640">
        <v>27924.2</v>
      </c>
    </row>
    <row r="5641" spans="1:4" x14ac:dyDescent="0.25">
      <c r="A5641" t="str">
        <f>T("   854449")</f>
        <v xml:space="preserve">   854449</v>
      </c>
      <c r="B5641" t="str">
        <f>T("   CONDUCTEURS ÉLECTRIQUES, POUR TENSION &lt;= 1.000 V, ISOLÉS, SANS PIÈCES DE CONNEXION, N.D.A.")</f>
        <v xml:space="preserve">   CONDUCTEURS ÉLECTRIQUES, POUR TENSION &lt;= 1.000 V, ISOLÉS, SANS PIÈCES DE CONNEXION, N.D.A.</v>
      </c>
      <c r="C5641">
        <v>158551083</v>
      </c>
      <c r="D5641">
        <v>93200</v>
      </c>
    </row>
    <row r="5642" spans="1:4" x14ac:dyDescent="0.25">
      <c r="A5642" t="str">
        <f>T("   854451")</f>
        <v xml:space="preserve">   854451</v>
      </c>
      <c r="B5642" t="str">
        <f>T("   Conducteurs électriques, pour tension &gt; 80 V mais &lt;= 1.000 V, avec pièces de connexion, n.d.a.")</f>
        <v xml:space="preserve">   Conducteurs électriques, pour tension &gt; 80 V mais &lt;= 1.000 V, avec pièces de connexion, n.d.a.</v>
      </c>
      <c r="C5642">
        <v>124628149</v>
      </c>
      <c r="D5642">
        <v>31777</v>
      </c>
    </row>
    <row r="5643" spans="1:4" x14ac:dyDescent="0.25">
      <c r="A5643" t="str">
        <f>T("   854459")</f>
        <v xml:space="preserve">   854459</v>
      </c>
      <c r="B5643" t="str">
        <f>T("   Conducteurs électriques, pour tension &gt; 80 V mais &lt;= 1.000 V, sans pièces de connexion, n.d.a.")</f>
        <v xml:space="preserve">   Conducteurs électriques, pour tension &gt; 80 V mais &lt;= 1.000 V, sans pièces de connexion, n.d.a.</v>
      </c>
      <c r="C5643">
        <v>306447986</v>
      </c>
      <c r="D5643">
        <v>200689.5</v>
      </c>
    </row>
    <row r="5644" spans="1:4" x14ac:dyDescent="0.25">
      <c r="A5644" t="str">
        <f>T("   854460")</f>
        <v xml:space="preserve">   854460</v>
      </c>
      <c r="B5644" t="str">
        <f>T("   Conducteurs électriques, pour tension &gt; 1.000 V, n.d.a.")</f>
        <v xml:space="preserve">   Conducteurs électriques, pour tension &gt; 1.000 V, n.d.a.</v>
      </c>
      <c r="C5644">
        <v>51359839</v>
      </c>
      <c r="D5644">
        <v>36424</v>
      </c>
    </row>
    <row r="5645" spans="1:4" x14ac:dyDescent="0.25">
      <c r="A5645" t="str">
        <f>T("   854470")</f>
        <v xml:space="preserve">   854470</v>
      </c>
      <c r="B5645" t="str">
        <f>T("   Câbles de fibres optiques constitués de fibres optiques gainées individuellement, comportant également des conducteurs électriques ou munis de pièces de connexion")</f>
        <v xml:space="preserve">   Câbles de fibres optiques constitués de fibres optiques gainées individuellement, comportant également des conducteurs électriques ou munis de pièces de connexion</v>
      </c>
      <c r="C5645">
        <v>19878480</v>
      </c>
      <c r="D5645">
        <v>4604</v>
      </c>
    </row>
    <row r="5646" spans="1:4" x14ac:dyDescent="0.25">
      <c r="A5646" t="str">
        <f>T("   854519")</f>
        <v xml:space="preserve">   854519</v>
      </c>
      <c r="B5646" t="str">
        <f>T("   ÉLECTRODES EN GRAPHITE OU EN AUTRE CARBONE, POUR USAGES ÉLECTRIQUES (AUTRES QUE POUR FOURS)")</f>
        <v xml:space="preserve">   ÉLECTRODES EN GRAPHITE OU EN AUTRE CARBONE, POUR USAGES ÉLECTRIQUES (AUTRES QUE POUR FOURS)</v>
      </c>
      <c r="C5646">
        <v>2420493</v>
      </c>
      <c r="D5646">
        <v>301</v>
      </c>
    </row>
    <row r="5647" spans="1:4" x14ac:dyDescent="0.25">
      <c r="A5647" t="str">
        <f>T("   854520")</f>
        <v xml:space="preserve">   854520</v>
      </c>
      <c r="B5647" t="str">
        <f>T("   Balais en charbon, pour usages électriques")</f>
        <v xml:space="preserve">   Balais en charbon, pour usages électriques</v>
      </c>
      <c r="C5647">
        <v>6236804</v>
      </c>
      <c r="D5647">
        <v>26</v>
      </c>
    </row>
    <row r="5648" spans="1:4" x14ac:dyDescent="0.25">
      <c r="A5648" t="str">
        <f>T("   854590")</f>
        <v xml:space="preserve">   854590</v>
      </c>
      <c r="B5648" t="str">
        <f>T("   Articles en graphite ou en autre carbone, pour usages électriques (autres qu'électrodes et balais)")</f>
        <v xml:space="preserve">   Articles en graphite ou en autre carbone, pour usages électriques (autres qu'électrodes et balais)</v>
      </c>
      <c r="C5648">
        <v>547546</v>
      </c>
      <c r="D5648">
        <v>269</v>
      </c>
    </row>
    <row r="5649" spans="1:4" x14ac:dyDescent="0.25">
      <c r="A5649" t="str">
        <f>T("   854610")</f>
        <v xml:space="preserve">   854610</v>
      </c>
      <c r="B5649" t="str">
        <f>T("   Isolateurs en verre, pour l'électricité (sauf pièces isolantes)")</f>
        <v xml:space="preserve">   Isolateurs en verre, pour l'électricité (sauf pièces isolantes)</v>
      </c>
      <c r="C5649">
        <v>10469692</v>
      </c>
      <c r="D5649">
        <v>3000</v>
      </c>
    </row>
    <row r="5650" spans="1:4" x14ac:dyDescent="0.25">
      <c r="A5650" t="str">
        <f>T("   854690")</f>
        <v xml:space="preserve">   854690</v>
      </c>
      <c r="B5650" t="str">
        <f>T("   Isolateurs pour usages électriques (sauf en verre ou en céramique et sauf pièces isolantes)")</f>
        <v xml:space="preserve">   Isolateurs pour usages électriques (sauf en verre ou en céramique et sauf pièces isolantes)</v>
      </c>
      <c r="C5650">
        <v>142137925</v>
      </c>
      <c r="D5650">
        <v>45669</v>
      </c>
    </row>
    <row r="5651" spans="1:4" x14ac:dyDescent="0.25">
      <c r="A5651" t="str">
        <f>T("   854720")</f>
        <v xml:space="preserve">   854720</v>
      </c>
      <c r="B5651" t="str">
        <f>T("   Pièces isolantes en matières plastiques, pour usages électriques")</f>
        <v xml:space="preserve">   Pièces isolantes en matières plastiques, pour usages électriques</v>
      </c>
      <c r="C5651">
        <v>4613512</v>
      </c>
      <c r="D5651">
        <v>240</v>
      </c>
    </row>
    <row r="5652" spans="1:4" x14ac:dyDescent="0.25">
      <c r="A5652" t="str">
        <f>T("   854790")</f>
        <v xml:space="preserve">   854790</v>
      </c>
      <c r="B5652" t="str">
        <f>T("   Pièces isolantes, pour usages électriques (autres qu'en céramique ou en matières plastiques, et que tubes isolateurs et leurs pièces de raccordement, en métaux communs, isolés intérieurement)")</f>
        <v xml:space="preserve">   Pièces isolantes, pour usages électriques (autres qu'en céramique ou en matières plastiques, et que tubes isolateurs et leurs pièces de raccordement, en métaux communs, isolés intérieurement)</v>
      </c>
      <c r="C5652">
        <v>1754877</v>
      </c>
      <c r="D5652">
        <v>22494</v>
      </c>
    </row>
    <row r="5653" spans="1:4" x14ac:dyDescent="0.25">
      <c r="A5653" t="str">
        <f>T("   860900")</f>
        <v xml:space="preserve">   860900</v>
      </c>
      <c r="B5653" t="str">
        <f>T("   CADRES ET CONTENEURS -Y.C. LES CONTENEURS-CITERNES ET LES CONTENEURS-RÉSERVOIRS- SPÉCIALEMENT CONÇUS ET ÉQUIPÉS POUR UN OU PLUSIEURS MODES DE TRANSPORT")</f>
        <v xml:space="preserve">   CADRES ET CONTENEURS -Y.C. LES CONTENEURS-CITERNES ET LES CONTENEURS-RÉSERVOIRS- SPÉCIALEMENT CONÇUS ET ÉQUIPÉS POUR UN OU PLUSIEURS MODES DE TRANSPORT</v>
      </c>
      <c r="C5653">
        <v>5676251</v>
      </c>
      <c r="D5653">
        <v>6417</v>
      </c>
    </row>
    <row r="5654" spans="1:4" x14ac:dyDescent="0.25">
      <c r="A5654" t="str">
        <f>T("   870120")</f>
        <v xml:space="preserve">   870120</v>
      </c>
      <c r="B5654" t="str">
        <f>T("   Tracteurs routiers pour semi-remorques")</f>
        <v xml:space="preserve">   Tracteurs routiers pour semi-remorques</v>
      </c>
      <c r="C5654">
        <v>1495022738</v>
      </c>
      <c r="D5654">
        <v>5068916</v>
      </c>
    </row>
    <row r="5655" spans="1:4" x14ac:dyDescent="0.25">
      <c r="A5655" t="str">
        <f>T("   870130")</f>
        <v xml:space="preserve">   870130</v>
      </c>
      <c r="B5655" t="str">
        <f>T("   Tracteurs à chenilles (sauf motoculteurs à chenille)")</f>
        <v xml:space="preserve">   Tracteurs à chenilles (sauf motoculteurs à chenille)</v>
      </c>
      <c r="C5655">
        <v>2989562</v>
      </c>
      <c r="D5655">
        <v>16000</v>
      </c>
    </row>
    <row r="5656" spans="1:4" x14ac:dyDescent="0.25">
      <c r="A5656" t="str">
        <f>T("   870190")</f>
        <v xml:space="preserve">   870190</v>
      </c>
      <c r="B5656" t="str">
        <f>T("   Tracteurs (à l'excl. des chariots-tracteurs du n° 8709, ainsi que des motoculteurs, tracteurs routiers pour semi-remorques et tracteurs à chenilles)")</f>
        <v xml:space="preserve">   Tracteurs (à l'excl. des chariots-tracteurs du n° 8709, ainsi que des motoculteurs, tracteurs routiers pour semi-remorques et tracteurs à chenilles)</v>
      </c>
      <c r="C5656">
        <v>32877485</v>
      </c>
      <c r="D5656">
        <v>130891</v>
      </c>
    </row>
    <row r="5657" spans="1:4" x14ac:dyDescent="0.25">
      <c r="A5657" t="str">
        <f>T("   870210")</f>
        <v xml:space="preserve">   870210</v>
      </c>
      <c r="B5657" t="s">
        <v>477</v>
      </c>
      <c r="C5657">
        <v>221495529</v>
      </c>
      <c r="D5657">
        <v>137954</v>
      </c>
    </row>
    <row r="5658" spans="1:4" x14ac:dyDescent="0.25">
      <c r="A5658" t="str">
        <f>T("   870290")</f>
        <v xml:space="preserve">   870290</v>
      </c>
      <c r="B5658" t="s">
        <v>478</v>
      </c>
      <c r="C5658">
        <v>166312037</v>
      </c>
      <c r="D5658">
        <v>346757</v>
      </c>
    </row>
    <row r="5659" spans="1:4" x14ac:dyDescent="0.25">
      <c r="A5659" t="str">
        <f>T("   870321")</f>
        <v xml:space="preserve">   870321</v>
      </c>
      <c r="B5659" t="s">
        <v>479</v>
      </c>
      <c r="C5659">
        <v>8742549</v>
      </c>
      <c r="D5659">
        <v>2275</v>
      </c>
    </row>
    <row r="5660" spans="1:4" x14ac:dyDescent="0.25">
      <c r="A5660" t="str">
        <f>T("   870322")</f>
        <v xml:space="preserve">   870322</v>
      </c>
      <c r="B5660" t="s">
        <v>480</v>
      </c>
      <c r="C5660">
        <v>1951188972</v>
      </c>
      <c r="D5660">
        <v>1014974</v>
      </c>
    </row>
    <row r="5661" spans="1:4" x14ac:dyDescent="0.25">
      <c r="A5661" t="str">
        <f>T("   870323")</f>
        <v xml:space="preserve">   870323</v>
      </c>
      <c r="B5661" t="s">
        <v>481</v>
      </c>
      <c r="C5661">
        <v>1190782603</v>
      </c>
      <c r="D5661">
        <v>272317</v>
      </c>
    </row>
    <row r="5662" spans="1:4" x14ac:dyDescent="0.25">
      <c r="A5662" t="str">
        <f>T("   870324")</f>
        <v xml:space="preserve">   870324</v>
      </c>
      <c r="B5662" t="s">
        <v>482</v>
      </c>
      <c r="C5662">
        <v>199030470</v>
      </c>
      <c r="D5662">
        <v>12015</v>
      </c>
    </row>
    <row r="5663" spans="1:4" x14ac:dyDescent="0.25">
      <c r="A5663" t="str">
        <f>T("   870331")</f>
        <v xml:space="preserve">   870331</v>
      </c>
      <c r="B5663" t="s">
        <v>483</v>
      </c>
      <c r="C5663">
        <v>4006604</v>
      </c>
      <c r="D5663">
        <v>1145</v>
      </c>
    </row>
    <row r="5664" spans="1:4" x14ac:dyDescent="0.25">
      <c r="A5664" t="str">
        <f>T("   870332")</f>
        <v xml:space="preserve">   870332</v>
      </c>
      <c r="B5664" t="s">
        <v>484</v>
      </c>
      <c r="C5664">
        <v>115185174</v>
      </c>
      <c r="D5664">
        <v>16824</v>
      </c>
    </row>
    <row r="5665" spans="1:4" x14ac:dyDescent="0.25">
      <c r="A5665" t="str">
        <f>T("   870333")</f>
        <v xml:space="preserve">   870333</v>
      </c>
      <c r="B5665" t="s">
        <v>485</v>
      </c>
      <c r="C5665">
        <v>700594285</v>
      </c>
      <c r="D5665">
        <v>100378</v>
      </c>
    </row>
    <row r="5666" spans="1:4" x14ac:dyDescent="0.25">
      <c r="A5666" t="str">
        <f>T("   870410")</f>
        <v xml:space="preserve">   870410</v>
      </c>
      <c r="B5666" t="str">
        <f>T("   Tombereaux automoteurs utilisés en dehors du réseau routier")</f>
        <v xml:space="preserve">   Tombereaux automoteurs utilisés en dehors du réseau routier</v>
      </c>
      <c r="C5666">
        <v>925889105</v>
      </c>
      <c r="D5666">
        <v>349760</v>
      </c>
    </row>
    <row r="5667" spans="1:4" x14ac:dyDescent="0.25">
      <c r="A5667" t="str">
        <f>T("   870421")</f>
        <v xml:space="preserve">   870421</v>
      </c>
      <c r="B5667" t="s">
        <v>486</v>
      </c>
      <c r="C5667">
        <v>1682131780</v>
      </c>
      <c r="D5667">
        <v>829870</v>
      </c>
    </row>
    <row r="5668" spans="1:4" x14ac:dyDescent="0.25">
      <c r="A5668" t="str">
        <f>T("   870422")</f>
        <v xml:space="preserve">   870422</v>
      </c>
      <c r="B5668" t="s">
        <v>487</v>
      </c>
      <c r="C5668">
        <v>793027342</v>
      </c>
      <c r="D5668">
        <v>2709224</v>
      </c>
    </row>
    <row r="5669" spans="1:4" x14ac:dyDescent="0.25">
      <c r="A5669" t="str">
        <f>T("   870423")</f>
        <v xml:space="preserve">   870423</v>
      </c>
      <c r="B5669" t="s">
        <v>488</v>
      </c>
      <c r="C5669">
        <v>36796048</v>
      </c>
      <c r="D5669">
        <v>112810</v>
      </c>
    </row>
    <row r="5670" spans="1:4" x14ac:dyDescent="0.25">
      <c r="A5670" t="str">
        <f>T("   870431")</f>
        <v xml:space="preserve">   870431</v>
      </c>
      <c r="B5670" t="s">
        <v>489</v>
      </c>
      <c r="C5670">
        <v>86338824</v>
      </c>
      <c r="D5670">
        <v>132604</v>
      </c>
    </row>
    <row r="5671" spans="1:4" x14ac:dyDescent="0.25">
      <c r="A5671" t="str">
        <f>T("   870432")</f>
        <v xml:space="preserve">   870432</v>
      </c>
      <c r="B5671" t="s">
        <v>490</v>
      </c>
      <c r="C5671">
        <v>1200000</v>
      </c>
      <c r="D5671">
        <v>1700</v>
      </c>
    </row>
    <row r="5672" spans="1:4" x14ac:dyDescent="0.25">
      <c r="A5672" t="str">
        <f>T("   870490")</f>
        <v xml:space="preserve">   870490</v>
      </c>
      <c r="B5672" t="str">
        <f>T("   Véhicules automobiles pour le transport de marchandises à moteur autre qu'à piston à allumage par étincelles ou moteur diesel ou semi-diesel (sauf tombereaux automoteurs du n° 8704.10, véhicules automobiles à usages spéciaux du n° 8705)")</f>
        <v xml:space="preserve">   Véhicules automobiles pour le transport de marchandises à moteur autre qu'à piston à allumage par étincelles ou moteur diesel ou semi-diesel (sauf tombereaux automoteurs du n° 8704.10, véhicules automobiles à usages spéciaux du n° 8705)</v>
      </c>
      <c r="C5672">
        <v>18753080</v>
      </c>
      <c r="D5672">
        <v>30285</v>
      </c>
    </row>
    <row r="5673" spans="1:4" x14ac:dyDescent="0.25">
      <c r="A5673" t="str">
        <f>T("   870510")</f>
        <v xml:space="preserve">   870510</v>
      </c>
      <c r="B5673" t="str">
        <f>T("   Camions-grues (sauf dépanneuses)")</f>
        <v xml:space="preserve">   Camions-grues (sauf dépanneuses)</v>
      </c>
      <c r="C5673">
        <v>361376621</v>
      </c>
      <c r="D5673">
        <v>114026</v>
      </c>
    </row>
    <row r="5674" spans="1:4" x14ac:dyDescent="0.25">
      <c r="A5674" t="str">
        <f>T("   870530")</f>
        <v xml:space="preserve">   870530</v>
      </c>
      <c r="B5674" t="str">
        <f>T("   Voitures de lutte contre l'incendie (sauf véhicules affectés principalement au transport des sapeurs-pompiers)")</f>
        <v xml:space="preserve">   Voitures de lutte contre l'incendie (sauf véhicules affectés principalement au transport des sapeurs-pompiers)</v>
      </c>
      <c r="C5674">
        <v>2904703</v>
      </c>
      <c r="D5674">
        <v>86360</v>
      </c>
    </row>
    <row r="5675" spans="1:4" x14ac:dyDescent="0.25">
      <c r="A5675" t="str">
        <f>T("   870540")</f>
        <v xml:space="preserve">   870540</v>
      </c>
      <c r="B5675" t="str">
        <f>T("   Camions-bétonnières")</f>
        <v xml:space="preserve">   Camions-bétonnières</v>
      </c>
      <c r="C5675">
        <v>235780882</v>
      </c>
      <c r="D5675">
        <v>72700</v>
      </c>
    </row>
    <row r="5676" spans="1:4" x14ac:dyDescent="0.25">
      <c r="A5676" t="str">
        <f>T("   870590")</f>
        <v xml:space="preserve">   870590</v>
      </c>
      <c r="B5676" t="s">
        <v>491</v>
      </c>
      <c r="C5676">
        <v>6105955</v>
      </c>
      <c r="D5676">
        <v>37910</v>
      </c>
    </row>
    <row r="5677" spans="1:4" x14ac:dyDescent="0.25">
      <c r="A5677" t="str">
        <f>T("   870600")</f>
        <v xml:space="preserve">   870600</v>
      </c>
      <c r="B5677" t="s">
        <v>492</v>
      </c>
      <c r="C5677">
        <v>1000000</v>
      </c>
      <c r="D5677">
        <v>500</v>
      </c>
    </row>
    <row r="5678" spans="1:4" x14ac:dyDescent="0.25">
      <c r="A5678" t="str">
        <f>T("   870710")</f>
        <v xml:space="preserve">   870710</v>
      </c>
      <c r="B5678" t="str">
        <f>T("   Carrosseries pour voitures de tourisme")</f>
        <v xml:space="preserve">   Carrosseries pour voitures de tourisme</v>
      </c>
      <c r="C5678">
        <v>240000</v>
      </c>
      <c r="D5678">
        <v>150</v>
      </c>
    </row>
    <row r="5679" spans="1:4" x14ac:dyDescent="0.25">
      <c r="A5679" t="str">
        <f>T("   870790")</f>
        <v xml:space="preserve">   870790</v>
      </c>
      <c r="B5679" t="str">
        <f>T("   CARROSSERIES DE TRACTEURS, VÉHICULES POUR LE TRANSPORT DE &gt;= 10 PERSONNES, CHAUFFEUR INCLUS, VÉHICULES POUR LE TRANSPORT DE MARCHANDISES ET VÉHICULES À USAGES SPÉCIAUX")</f>
        <v xml:space="preserve">   CARROSSERIES DE TRACTEURS, VÉHICULES POUR LE TRANSPORT DE &gt;= 10 PERSONNES, CHAUFFEUR INCLUS, VÉHICULES POUR LE TRANSPORT DE MARCHANDISES ET VÉHICULES À USAGES SPÉCIAUX</v>
      </c>
      <c r="C5679">
        <v>13648559</v>
      </c>
      <c r="D5679">
        <v>1203</v>
      </c>
    </row>
    <row r="5680" spans="1:4" x14ac:dyDescent="0.25">
      <c r="A5680" t="str">
        <f>T("   870810")</f>
        <v xml:space="preserve">   870810</v>
      </c>
      <c r="B5680" t="str">
        <f>T("   PARE-CHOCS ET LEURS PARTIES DE TRACTEURS, VÉHICULES POUR LE TRANSPORT DE &gt;= 10 PERSONNES, CHAUFFEUR INCLUS, VOITURES DE TOURISME, VÉHICULES POUR LE TRANSPORT DE MARCHANDISES ET VÉHICULES À USAGES SPÉCIAUX DU N° 8701 À 8705, N.D.A")</f>
        <v xml:space="preserve">   PARE-CHOCS ET LEURS PARTIES DE TRACTEURS, VÉHICULES POUR LE TRANSPORT DE &gt;= 10 PERSONNES, CHAUFFEUR INCLUS, VOITURES DE TOURISME, VÉHICULES POUR LE TRANSPORT DE MARCHANDISES ET VÉHICULES À USAGES SPÉCIAUX DU N° 8701 À 8705, N.D.A</v>
      </c>
      <c r="C5680">
        <v>11641504</v>
      </c>
      <c r="D5680">
        <v>2452.5</v>
      </c>
    </row>
    <row r="5681" spans="1:4" x14ac:dyDescent="0.25">
      <c r="A5681" t="str">
        <f>T("   870829")</f>
        <v xml:space="preserve">   870829</v>
      </c>
      <c r="B5681" t="s">
        <v>493</v>
      </c>
      <c r="C5681">
        <v>9532530</v>
      </c>
      <c r="D5681">
        <v>2238</v>
      </c>
    </row>
    <row r="5682" spans="1:4" x14ac:dyDescent="0.25">
      <c r="A5682" t="str">
        <f>T("   870831")</f>
        <v xml:space="preserve">   870831</v>
      </c>
      <c r="B5682" t="str">
        <f>T("   GARNITURES DE FREINS MONTÉES, POUR TRACTEURS, VÉHICULES POUR LE TRANSPORT DE &gt;= 10 PERSONNES, CHAUFFEUR INCLUS, VOITURES DE TOURISME, VÉHICULES POUR LE TRANSPORT DE MARCHANDISES ET VÉHICULES À USAGES SPÉCIAUX")</f>
        <v xml:space="preserve">   GARNITURES DE FREINS MONTÉES, POUR TRACTEURS, VÉHICULES POUR LE TRANSPORT DE &gt;= 10 PERSONNES, CHAUFFEUR INCLUS, VOITURES DE TOURISME, VÉHICULES POUR LE TRANSPORT DE MARCHANDISES ET VÉHICULES À USAGES SPÉCIAUX</v>
      </c>
      <c r="C5682">
        <v>1304704</v>
      </c>
      <c r="D5682">
        <v>425</v>
      </c>
    </row>
    <row r="5683" spans="1:4" x14ac:dyDescent="0.25">
      <c r="A5683" t="str">
        <f>T("   870839")</f>
        <v xml:space="preserve">   870839</v>
      </c>
      <c r="B5683" t="str">
        <f>T("   FREINS ET SERVO-FREINS, ET LEURS PARTIES, POUR DE TRACTEURS, VÉHICULES POUR LE TRANSPORT DE &gt;= 10 PERSONNES, CHAUFFEUR INCLUS, VOITURES DE TOURISME, VÉHICULES POUR LE TRANSPORT DE MARCHANDISES ET VÉHICULES À USAGES SPÉCIAUX, N.D.A.")</f>
        <v xml:space="preserve">   FREINS ET SERVO-FREINS, ET LEURS PARTIES, POUR DE TRACTEURS, VÉHICULES POUR LE TRANSPORT DE &gt;= 10 PERSONNES, CHAUFFEUR INCLUS, VOITURES DE TOURISME, VÉHICULES POUR LE TRANSPORT DE MARCHANDISES ET VÉHICULES À USAGES SPÉCIAUX, N.D.A.</v>
      </c>
      <c r="C5683">
        <v>5292419</v>
      </c>
      <c r="D5683">
        <v>204</v>
      </c>
    </row>
    <row r="5684" spans="1:4" x14ac:dyDescent="0.25">
      <c r="A5684" t="str">
        <f>T("   870840")</f>
        <v xml:space="preserve">   870840</v>
      </c>
      <c r="B5684" t="str">
        <f>T("   BOÎTES DE VITESSE ET LEURS PARTIES, POUR TRACTEURS, VÉHICULES POUR LE TRANSPORT DE &gt;= 10 PERSONNES, CHAUFFEUR INCLUS, VOITURES DE TOURISME, VÉHICULES POUR LE TRANSPORT DE MARCHANDISES ET VÉHICULES À USAGES SPÉCIAUX, N.D.A.")</f>
        <v xml:space="preserve">   BOÎTES DE VITESSE ET LEURS PARTIES, POUR TRACTEURS, VÉHICULES POUR LE TRANSPORT DE &gt;= 10 PERSONNES, CHAUFFEUR INCLUS, VOITURES DE TOURISME, VÉHICULES POUR LE TRANSPORT DE MARCHANDISES ET VÉHICULES À USAGES SPÉCIAUX, N.D.A.</v>
      </c>
      <c r="C5684">
        <v>10977354</v>
      </c>
      <c r="D5684">
        <v>704</v>
      </c>
    </row>
    <row r="5685" spans="1:4" x14ac:dyDescent="0.25">
      <c r="A5685" t="str">
        <f>T("   870850")</f>
        <v xml:space="preserve">   870850</v>
      </c>
      <c r="B5685" t="s">
        <v>494</v>
      </c>
      <c r="C5685">
        <v>690000</v>
      </c>
      <c r="D5685">
        <v>690</v>
      </c>
    </row>
    <row r="5686" spans="1:4" x14ac:dyDescent="0.25">
      <c r="A5686" t="str">
        <f>T("   870860")</f>
        <v xml:space="preserve">   870860</v>
      </c>
      <c r="B5686" t="str">
        <f>T("   ESSIEUX PORTEURS ET LEURS PARTIES, POUR TRACTEURS, VÉHICULES POUR LE TRANSPORT DE &gt;= 10 PERSONNES, CHAUFFEUR INCLUS, VOITURES DE TOURISME, VÉHICULES POUR LE TRANSPORT DE MARCHANDISES ET VÉHICULES À USAGES SPÉCIAUX N.D.A.")</f>
        <v xml:space="preserve">   ESSIEUX PORTEURS ET LEURS PARTIES, POUR TRACTEURS, VÉHICULES POUR LE TRANSPORT DE &gt;= 10 PERSONNES, CHAUFFEUR INCLUS, VOITURES DE TOURISME, VÉHICULES POUR LE TRANSPORT DE MARCHANDISES ET VÉHICULES À USAGES SPÉCIAUX N.D.A.</v>
      </c>
      <c r="C5686">
        <v>2860000</v>
      </c>
      <c r="D5686">
        <v>2480</v>
      </c>
    </row>
    <row r="5687" spans="1:4" x14ac:dyDescent="0.25">
      <c r="A5687" t="str">
        <f>T("   870870")</f>
        <v xml:space="preserve">   870870</v>
      </c>
      <c r="B5687" t="str">
        <f>T("   ROUES, LEURS PARTIES ET ACCESSOIRES POUR TRACTEURS, VÉHICULES POUR LE TRANSPORT DE &gt;= 10 PERSONNES, CHAUFFEUR INCLUS, VOITURES DE TOURISME, VÉHICULES POUR LE TRANSPORT DE MARCHANDISES ET VÉHICULES À USAGES SPÉCIAUX, N.D.A.")</f>
        <v xml:space="preserve">   ROUES, LEURS PARTIES ET ACCESSOIRES POUR TRACTEURS, VÉHICULES POUR LE TRANSPORT DE &gt;= 10 PERSONNES, CHAUFFEUR INCLUS, VOITURES DE TOURISME, VÉHICULES POUR LE TRANSPORT DE MARCHANDISES ET VÉHICULES À USAGES SPÉCIAUX, N.D.A.</v>
      </c>
      <c r="C5687">
        <v>7322622</v>
      </c>
      <c r="D5687">
        <v>6446</v>
      </c>
    </row>
    <row r="5688" spans="1:4" x14ac:dyDescent="0.25">
      <c r="A5688" t="str">
        <f>T("   870880")</f>
        <v xml:space="preserve">   870880</v>
      </c>
      <c r="B5688" t="s">
        <v>495</v>
      </c>
      <c r="C5688">
        <v>8678985</v>
      </c>
      <c r="D5688">
        <v>497</v>
      </c>
    </row>
    <row r="5689" spans="1:4" x14ac:dyDescent="0.25">
      <c r="A5689" t="str">
        <f>T("   870891")</f>
        <v xml:space="preserve">   870891</v>
      </c>
      <c r="B5689" t="str">
        <f>T("   RADIATEURS ET LEURS PARTIES, POUR TRACTEURS, VÉHICULES POUR LE TRANSPORT DE &gt;= 10 PERSONNES, CHAUFFEUR INCLUS, VOITURES DE TOURISME, VÉHICULES POUR LE TRANSPORT DE MARCHANDISES ET VÉHICULES À USAGES SPÉCIAUX, N.D.A.")</f>
        <v xml:space="preserve">   RADIATEURS ET LEURS PARTIES, POUR TRACTEURS, VÉHICULES POUR LE TRANSPORT DE &gt;= 10 PERSONNES, CHAUFFEUR INCLUS, VOITURES DE TOURISME, VÉHICULES POUR LE TRANSPORT DE MARCHANDISES ET VÉHICULES À USAGES SPÉCIAUX, N.D.A.</v>
      </c>
      <c r="C5689">
        <v>11035871</v>
      </c>
      <c r="D5689">
        <v>396</v>
      </c>
    </row>
    <row r="5690" spans="1:4" x14ac:dyDescent="0.25">
      <c r="A5690" t="str">
        <f>T("   870892")</f>
        <v xml:space="preserve">   870892</v>
      </c>
      <c r="B5690" t="str">
        <f>T("   SILENCIEUX ET TUYAUX D'ÉCHAPPEMENT AINSI QUE LEURS PARTIES, POUR TRACTEURS, VÉHICULES POUR LE TRANSPORT DE &gt;= 10 PERSONNES, CHAUFFEUR INCLUS, VOITURES DE TOURISME, VÉHICULES POUR LE TRANSPORT DE MARCHANDISES ET VÉHICULES À USAGES SPÉCIAUX, N.D.A.")</f>
        <v xml:space="preserve">   SILENCIEUX ET TUYAUX D'ÉCHAPPEMENT AINSI QUE LEURS PARTIES, POUR TRACTEURS, VÉHICULES POUR LE TRANSPORT DE &gt;= 10 PERSONNES, CHAUFFEUR INCLUS, VOITURES DE TOURISME, VÉHICULES POUR LE TRANSPORT DE MARCHANDISES ET VÉHICULES À USAGES SPÉCIAUX, N.D.A.</v>
      </c>
      <c r="C5690">
        <v>2344300</v>
      </c>
      <c r="D5690">
        <v>423</v>
      </c>
    </row>
    <row r="5691" spans="1:4" x14ac:dyDescent="0.25">
      <c r="A5691" t="str">
        <f>T("   870893")</f>
        <v xml:space="preserve">   870893</v>
      </c>
      <c r="B5691" t="str">
        <f>T("   EMBRAYAGES ET LEURS PARTIES, POUR TRACTEURS, VÉHICULES POUR LE TRANSPORT DE &gt;= 10 PERSONNES, CHAUFFEUR INCLUS, VOITURES DE TOURISME, VÉHICULES POUR LE TRANSPORT DE MARCHANDISES ET VÉHICULES À USAGES SPÉCIAUX, N.D.A.")</f>
        <v xml:space="preserve">   EMBRAYAGES ET LEURS PARTIES, POUR TRACTEURS, VÉHICULES POUR LE TRANSPORT DE &gt;= 10 PERSONNES, CHAUFFEUR INCLUS, VOITURES DE TOURISME, VÉHICULES POUR LE TRANSPORT DE MARCHANDISES ET VÉHICULES À USAGES SPÉCIAUX, N.D.A.</v>
      </c>
      <c r="C5691">
        <v>17919870</v>
      </c>
      <c r="D5691">
        <v>2572</v>
      </c>
    </row>
    <row r="5692" spans="1:4" x14ac:dyDescent="0.25">
      <c r="A5692" t="str">
        <f>T("   870899")</f>
        <v xml:space="preserve">   870899</v>
      </c>
      <c r="B5692"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5692">
        <v>581799189</v>
      </c>
      <c r="D5692">
        <v>63924.5</v>
      </c>
    </row>
    <row r="5693" spans="1:4" x14ac:dyDescent="0.25">
      <c r="A5693" t="str">
        <f>T("   870919")</f>
        <v xml:space="preserve">   870919</v>
      </c>
      <c r="B5693" t="str">
        <f>T("   CHARIOTS AUTOMOBILES NON-ÉLECTRIQUES, NON-MUNIS D'UN DISPOSITIF DE LEVAGE, DES TYPES UTILISÉS POUR LE TRANSPORT DES MARCHANDISES SUR DE COURTES DISTANCES, Y.C. LES CHARIOTS-TRACTEURS DES TYPES UTILISÉS DANS LES GARES")</f>
        <v xml:space="preserve">   CHARIOTS AUTOMOBILES NON-ÉLECTRIQUES, NON-MUNIS D'UN DISPOSITIF DE LEVAGE, DES TYPES UTILISÉS POUR LE TRANSPORT DES MARCHANDISES SUR DE COURTES DISTANCES, Y.C. LES CHARIOTS-TRACTEURS DES TYPES UTILISÉS DANS LES GARES</v>
      </c>
      <c r="C5693">
        <v>4834258</v>
      </c>
      <c r="D5693">
        <v>9185</v>
      </c>
    </row>
    <row r="5694" spans="1:4" x14ac:dyDescent="0.25">
      <c r="A5694" t="str">
        <f>T("   870990")</f>
        <v xml:space="preserve">   870990</v>
      </c>
      <c r="B5694" t="str">
        <f>T("   Parties de chariots automobiles non munis d'un dispositif de levage, des types utilisés pour le transport des marchandises sur de courtes distances, y.c. les chariots-tracteurs des types utilisés dans les gares, n.d.a.")</f>
        <v xml:space="preserve">   Parties de chariots automobiles non munis d'un dispositif de levage, des types utilisés pour le transport des marchandises sur de courtes distances, y.c. les chariots-tracteurs des types utilisés dans les gares, n.d.a.</v>
      </c>
      <c r="C5694">
        <v>1734358</v>
      </c>
      <c r="D5694">
        <v>74</v>
      </c>
    </row>
    <row r="5695" spans="1:4" x14ac:dyDescent="0.25">
      <c r="A5695" t="str">
        <f>T("   871110")</f>
        <v xml:space="preserve">   871110</v>
      </c>
      <c r="B5695" t="str">
        <f>T("   Cyclomoteurs, à moteur à piston alternatif, cylindrée &lt;= 50 cm³, y.c. cycles à moteur auxiliaire")</f>
        <v xml:space="preserve">   Cyclomoteurs, à moteur à piston alternatif, cylindrée &lt;= 50 cm³, y.c. cycles à moteur auxiliaire</v>
      </c>
      <c r="C5695">
        <v>3448775</v>
      </c>
      <c r="D5695">
        <v>1470</v>
      </c>
    </row>
    <row r="5696" spans="1:4" x14ac:dyDescent="0.25">
      <c r="A5696" t="str">
        <f>T("   871120")</f>
        <v xml:space="preserve">   871120</v>
      </c>
      <c r="B5696" t="str">
        <f>T("   Motocycles à moteur à piston alternatif, cylindrée &gt; 50 cm³ mais &lt;= 250 cm³")</f>
        <v xml:space="preserve">   Motocycles à moteur à piston alternatif, cylindrée &gt; 50 cm³ mais &lt;= 250 cm³</v>
      </c>
      <c r="C5696">
        <v>653228443</v>
      </c>
      <c r="D5696">
        <v>221537</v>
      </c>
    </row>
    <row r="5697" spans="1:4" x14ac:dyDescent="0.25">
      <c r="A5697" t="str">
        <f>T("   871130")</f>
        <v xml:space="preserve">   871130</v>
      </c>
      <c r="B5697" t="str">
        <f>T("   Motocycles à moteur à piston alternatif, cylindrée &gt; 250 cm³ mais &lt;= 500 cm³")</f>
        <v xml:space="preserve">   Motocycles à moteur à piston alternatif, cylindrée &gt; 250 cm³ mais &lt;= 500 cm³</v>
      </c>
      <c r="C5697">
        <v>327980</v>
      </c>
      <c r="D5697">
        <v>300</v>
      </c>
    </row>
    <row r="5698" spans="1:4" x14ac:dyDescent="0.25">
      <c r="A5698" t="str">
        <f>T("   871140")</f>
        <v xml:space="preserve">   871140</v>
      </c>
      <c r="B5698" t="str">
        <f>T("   Motocycles à moteur à piston alternatif, cylindrée &gt; 500 cm³ mais &lt;= 800 cm³")</f>
        <v xml:space="preserve">   Motocycles à moteur à piston alternatif, cylindrée &gt; 500 cm³ mais &lt;= 800 cm³</v>
      </c>
      <c r="C5698">
        <v>180000</v>
      </c>
      <c r="D5698">
        <v>53</v>
      </c>
    </row>
    <row r="5699" spans="1:4" x14ac:dyDescent="0.25">
      <c r="A5699" t="str">
        <f>T("   871150")</f>
        <v xml:space="preserve">   871150</v>
      </c>
      <c r="B5699" t="str">
        <f>T("   Motocycles à moteur à piston alternatif, cylindrée &gt; 800 cm³")</f>
        <v xml:space="preserve">   Motocycles à moteur à piston alternatif, cylindrée &gt; 800 cm³</v>
      </c>
      <c r="C5699">
        <v>783509</v>
      </c>
      <c r="D5699">
        <v>1000</v>
      </c>
    </row>
    <row r="5700" spans="1:4" x14ac:dyDescent="0.25">
      <c r="A5700" t="str">
        <f>T("   871190")</f>
        <v xml:space="preserve">   871190</v>
      </c>
      <c r="B5700" t="str">
        <f>T("   Side-cars")</f>
        <v xml:space="preserve">   Side-cars</v>
      </c>
      <c r="C5700">
        <v>1255302</v>
      </c>
      <c r="D5700">
        <v>730</v>
      </c>
    </row>
    <row r="5701" spans="1:4" x14ac:dyDescent="0.25">
      <c r="A5701" t="str">
        <f>T("   871200")</f>
        <v xml:space="preserve">   871200</v>
      </c>
      <c r="B5701" t="str">
        <f>T("   BICYCLETTES ET AUTRES CYCLES, -Y.C. LES TRIPORTEURS-, SANS MOTEUR")</f>
        <v xml:space="preserve">   BICYCLETTES ET AUTRES CYCLES, -Y.C. LES TRIPORTEURS-, SANS MOTEUR</v>
      </c>
      <c r="C5701">
        <v>23393306</v>
      </c>
      <c r="D5701">
        <v>19429.849999999999</v>
      </c>
    </row>
    <row r="5702" spans="1:4" x14ac:dyDescent="0.25">
      <c r="A5702" t="str">
        <f>T("   871310")</f>
        <v xml:space="preserve">   871310</v>
      </c>
      <c r="B5702" t="str">
        <f>T("   Fauteuils roulants et autres véhicules pour invalides (sans mécanisme de propulsion)")</f>
        <v xml:space="preserve">   Fauteuils roulants et autres véhicules pour invalides (sans mécanisme de propulsion)</v>
      </c>
      <c r="C5702">
        <v>111185</v>
      </c>
      <c r="D5702">
        <v>326.39999999999998</v>
      </c>
    </row>
    <row r="5703" spans="1:4" x14ac:dyDescent="0.25">
      <c r="A5703" t="str">
        <f>T("   871390")</f>
        <v xml:space="preserve">   871390</v>
      </c>
      <c r="B5703" t="str">
        <f>T("   Fauteuils roulants et autres véhicules pour invalides, avec mécanisme de propulsion (sauf automobiles et bicyclettes munies de dispositifs spéciaux)")</f>
        <v xml:space="preserve">   Fauteuils roulants et autres véhicules pour invalides, avec mécanisme de propulsion (sauf automobiles et bicyclettes munies de dispositifs spéciaux)</v>
      </c>
      <c r="C5703">
        <v>2010518</v>
      </c>
      <c r="D5703">
        <v>2000</v>
      </c>
    </row>
    <row r="5704" spans="1:4" x14ac:dyDescent="0.25">
      <c r="A5704" t="str">
        <f>T("   871411")</f>
        <v xml:space="preserve">   871411</v>
      </c>
      <c r="B5704" t="str">
        <f>T("   Selles de motocycles, y.c. de cyclomoteurs")</f>
        <v xml:space="preserve">   Selles de motocycles, y.c. de cyclomoteurs</v>
      </c>
      <c r="C5704">
        <v>2343605</v>
      </c>
      <c r="D5704">
        <v>2070</v>
      </c>
    </row>
    <row r="5705" spans="1:4" x14ac:dyDescent="0.25">
      <c r="A5705" t="str">
        <f>T("   871419")</f>
        <v xml:space="preserve">   871419</v>
      </c>
      <c r="B5705" t="str">
        <f>T("   Parties et accessoires de motocycles, y.c. de cyclomoteurs, n.d.a.")</f>
        <v xml:space="preserve">   Parties et accessoires de motocycles, y.c. de cyclomoteurs, n.d.a.</v>
      </c>
      <c r="C5705">
        <v>7094694</v>
      </c>
      <c r="D5705">
        <v>1343</v>
      </c>
    </row>
    <row r="5706" spans="1:4" x14ac:dyDescent="0.25">
      <c r="A5706" t="str">
        <f>T("   871491")</f>
        <v xml:space="preserve">   871491</v>
      </c>
      <c r="B5706" t="str">
        <f>T("   Cadres et fourches, et leurs parties, de bicyclettes, n.d.a.")</f>
        <v xml:space="preserve">   Cadres et fourches, et leurs parties, de bicyclettes, n.d.a.</v>
      </c>
      <c r="C5706">
        <v>12000</v>
      </c>
      <c r="D5706">
        <v>50</v>
      </c>
    </row>
    <row r="5707" spans="1:4" x14ac:dyDescent="0.25">
      <c r="A5707" t="str">
        <f>T("   871492")</f>
        <v xml:space="preserve">   871492</v>
      </c>
      <c r="B5707" t="str">
        <f>T("   Jantes et rayons, de bicyclettes")</f>
        <v xml:space="preserve">   Jantes et rayons, de bicyclettes</v>
      </c>
      <c r="C5707">
        <v>1455575</v>
      </c>
      <c r="D5707">
        <v>260</v>
      </c>
    </row>
    <row r="5708" spans="1:4" x14ac:dyDescent="0.25">
      <c r="A5708" t="str">
        <f>T("   871499")</f>
        <v xml:space="preserve">   871499</v>
      </c>
      <c r="B5708" t="str">
        <f>T("   Parties et accessoires, de bicyclettes, n.d.a.")</f>
        <v xml:space="preserve">   Parties et accessoires, de bicyclettes, n.d.a.</v>
      </c>
      <c r="C5708">
        <v>1325696</v>
      </c>
      <c r="D5708">
        <v>25</v>
      </c>
    </row>
    <row r="5709" spans="1:4" x14ac:dyDescent="0.25">
      <c r="A5709" t="str">
        <f>T("   871500")</f>
        <v xml:space="preserve">   871500</v>
      </c>
      <c r="B5709" t="str">
        <f>T("   Landaus, poussettes et voitures simil., pour le transport des enfants, et leurs parties, n.d.a.")</f>
        <v xml:space="preserve">   Landaus, poussettes et voitures simil., pour le transport des enfants, et leurs parties, n.d.a.</v>
      </c>
      <c r="C5709">
        <v>932120</v>
      </c>
      <c r="D5709">
        <v>137</v>
      </c>
    </row>
    <row r="5710" spans="1:4" x14ac:dyDescent="0.25">
      <c r="A5710" t="str">
        <f>T("   871610")</f>
        <v xml:space="preserve">   871610</v>
      </c>
      <c r="B5710" t="str">
        <f>T("   Remorques et semi-remorques pour l'habitation ou le camping, du type caravane")</f>
        <v xml:space="preserve">   Remorques et semi-remorques pour l'habitation ou le camping, du type caravane</v>
      </c>
      <c r="C5710">
        <v>17158583</v>
      </c>
      <c r="D5710">
        <v>21870</v>
      </c>
    </row>
    <row r="5711" spans="1:4" x14ac:dyDescent="0.25">
      <c r="A5711" t="str">
        <f>T("   871620")</f>
        <v xml:space="preserve">   871620</v>
      </c>
      <c r="B5711" t="str">
        <f>T("   Remorques et semi-remorques autochargeuses ou autodéchargeuses, pour usages agricoles")</f>
        <v xml:space="preserve">   Remorques et semi-remorques autochargeuses ou autodéchargeuses, pour usages agricoles</v>
      </c>
      <c r="C5711">
        <v>23422817</v>
      </c>
      <c r="D5711">
        <v>120806</v>
      </c>
    </row>
    <row r="5712" spans="1:4" x14ac:dyDescent="0.25">
      <c r="A5712" t="str">
        <f>T("   871631")</f>
        <v xml:space="preserve">   871631</v>
      </c>
      <c r="B5712" t="str">
        <f>T("   Remorques-citernes ne circulant pas sur rails")</f>
        <v xml:space="preserve">   Remorques-citernes ne circulant pas sur rails</v>
      </c>
      <c r="C5712">
        <v>28182373</v>
      </c>
      <c r="D5712">
        <v>147680</v>
      </c>
    </row>
    <row r="5713" spans="1:4" x14ac:dyDescent="0.25">
      <c r="A5713" t="str">
        <f>T("   871639")</f>
        <v xml:space="preserve">   871639</v>
      </c>
      <c r="B5713" t="str">
        <f>T("   Remorques ne circulant pas sur rails, pour le transport des marchandises (sauf remorques destinées à des usages agricoles, remorques autochargeuses ou autodéchargeuses et remorques-citernes)")</f>
        <v xml:space="preserve">   Remorques ne circulant pas sur rails, pour le transport des marchandises (sauf remorques destinées à des usages agricoles, remorques autochargeuses ou autodéchargeuses et remorques-citernes)</v>
      </c>
      <c r="C5713">
        <v>11682179</v>
      </c>
      <c r="D5713">
        <v>91945</v>
      </c>
    </row>
    <row r="5714" spans="1:4" x14ac:dyDescent="0.25">
      <c r="A5714" t="str">
        <f>T("   871640")</f>
        <v xml:space="preserve">   871640</v>
      </c>
      <c r="B5714"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5714">
        <v>763632537</v>
      </c>
      <c r="D5714">
        <v>3305240</v>
      </c>
    </row>
    <row r="5715" spans="1:4" x14ac:dyDescent="0.25">
      <c r="A5715" t="str">
        <f>T("   871680")</f>
        <v xml:space="preserve">   871680</v>
      </c>
      <c r="B5715" t="str">
        <f>T("   Véhicules dirigés à la main et autres véhicules non automobiles, autres que remorques et semi-remorques")</f>
        <v xml:space="preserve">   Véhicules dirigés à la main et autres véhicules non automobiles, autres que remorques et semi-remorques</v>
      </c>
      <c r="C5715">
        <v>8390525</v>
      </c>
      <c r="D5715">
        <v>10367</v>
      </c>
    </row>
    <row r="5716" spans="1:4" x14ac:dyDescent="0.25">
      <c r="A5716" t="str">
        <f>T("   871690")</f>
        <v xml:space="preserve">   871690</v>
      </c>
      <c r="B5716" t="str">
        <f>T("   PARTIES DE REMORQUES, SEMI-REMORQUES ET AUTRES VÉHICULES NON-AUTOMOBILES, N.D.A.")</f>
        <v xml:space="preserve">   PARTIES DE REMORQUES, SEMI-REMORQUES ET AUTRES VÉHICULES NON-AUTOMOBILES, N.D.A.</v>
      </c>
      <c r="C5716">
        <v>1461502</v>
      </c>
      <c r="D5716">
        <v>6810</v>
      </c>
    </row>
    <row r="5717" spans="1:4" x14ac:dyDescent="0.25">
      <c r="A5717" t="str">
        <f>T("   880220")</f>
        <v xml:space="preserve">   880220</v>
      </c>
      <c r="B5717" t="str">
        <f>T("   Avions et autres véhicules aériens, conçus pour la propulsion à moteur, sauf hélicoptères et dirigeables, d'un poids à vide &lt;= 2.000 kg")</f>
        <v xml:space="preserve">   Avions et autres véhicules aériens, conçus pour la propulsion à moteur, sauf hélicoptères et dirigeables, d'un poids à vide &lt;= 2.000 kg</v>
      </c>
      <c r="C5717">
        <v>17340303</v>
      </c>
      <c r="D5717">
        <v>284</v>
      </c>
    </row>
    <row r="5718" spans="1:4" x14ac:dyDescent="0.25">
      <c r="A5718" t="str">
        <f>T("   890190")</f>
        <v xml:space="preserve">   890190</v>
      </c>
      <c r="B5718" t="str">
        <f>T("   Cargos et bateaux pour le transport de personnes et de marchandises (autres que bateaux frigorifiques, bateaux-citernes, cargos et bateaux destinés essentiellement au transport des personnes)")</f>
        <v xml:space="preserve">   Cargos et bateaux pour le transport de personnes et de marchandises (autres que bateaux frigorifiques, bateaux-citernes, cargos et bateaux destinés essentiellement au transport des personnes)</v>
      </c>
      <c r="C5718">
        <v>8548809</v>
      </c>
      <c r="D5718">
        <v>1970</v>
      </c>
    </row>
    <row r="5719" spans="1:4" x14ac:dyDescent="0.25">
      <c r="A5719" t="str">
        <f>T("   890399")</f>
        <v xml:space="preserve">   890399</v>
      </c>
      <c r="B5719" t="str">
        <f>T("   Bateaux, de plaisance ou de sport (sauf bateaux à moteur autre qu' à moteur hors-bord, bateaux à voile, même avec moteur auxiliaire, et bateaux gonflables); bateaux à rames et canoës")</f>
        <v xml:space="preserve">   Bateaux, de plaisance ou de sport (sauf bateaux à moteur autre qu' à moteur hors-bord, bateaux à voile, même avec moteur auxiliaire, et bateaux gonflables); bateaux à rames et canoës</v>
      </c>
      <c r="C5719">
        <v>12695451</v>
      </c>
      <c r="D5719">
        <v>1026</v>
      </c>
    </row>
    <row r="5720" spans="1:4" x14ac:dyDescent="0.25">
      <c r="A5720" t="str">
        <f>T("   890690")</f>
        <v xml:space="preserve">   890690</v>
      </c>
      <c r="B5720" t="str">
        <f>T("   Bateaux, y.c. les bateaux de sauvetage (à l'excl. des navires de guerre, des bateaux à rames et autres bateaux du n° 8901 à 8905 et des bateaux à dépecer)")</f>
        <v xml:space="preserve">   Bateaux, y.c. les bateaux de sauvetage (à l'excl. des navires de guerre, des bateaux à rames et autres bateaux du n° 8901 à 8905 et des bateaux à dépecer)</v>
      </c>
      <c r="C5720">
        <v>4405428</v>
      </c>
      <c r="D5720">
        <v>658</v>
      </c>
    </row>
    <row r="5721" spans="1:4" x14ac:dyDescent="0.25">
      <c r="A5721" t="str">
        <f>T("   890790")</f>
        <v xml:space="preserve">   890790</v>
      </c>
      <c r="B5721" t="str">
        <f>T("   Engins flottants, p.ex. réservoirs, caissons, coffres d'amarrage, bouées et balises (sauf radeaux gonflables, bateaux du n° 8901 à 8906 et engins flottants à dépecer)")</f>
        <v xml:space="preserve">   Engins flottants, p.ex. réservoirs, caissons, coffres d'amarrage, bouées et balises (sauf radeaux gonflables, bateaux du n° 8901 à 8906 et engins flottants à dépecer)</v>
      </c>
      <c r="C5721">
        <v>14791032</v>
      </c>
      <c r="D5721">
        <v>132</v>
      </c>
    </row>
    <row r="5722" spans="1:4" x14ac:dyDescent="0.25">
      <c r="A5722" t="str">
        <f>T("   900110")</f>
        <v xml:space="preserve">   900110</v>
      </c>
      <c r="B5722" t="str">
        <f>T("   Fibres optiques, faisceaux et câbles de fibres optiques (autres que les câbles constitués de fibres gainées individuellement du n° 8544)")</f>
        <v xml:space="preserve">   Fibres optiques, faisceaux et câbles de fibres optiques (autres que les câbles constitués de fibres gainées individuellement du n° 8544)</v>
      </c>
      <c r="C5722">
        <v>1056525</v>
      </c>
      <c r="D5722">
        <v>2</v>
      </c>
    </row>
    <row r="5723" spans="1:4" x14ac:dyDescent="0.25">
      <c r="A5723" t="str">
        <f>T("   900140")</f>
        <v xml:space="preserve">   900140</v>
      </c>
      <c r="B5723" t="str">
        <f>T("   Verres de lunetterie en verre")</f>
        <v xml:space="preserve">   Verres de lunetterie en verre</v>
      </c>
      <c r="C5723">
        <v>465732</v>
      </c>
      <c r="D5723">
        <v>90.25</v>
      </c>
    </row>
    <row r="5724" spans="1:4" x14ac:dyDescent="0.25">
      <c r="A5724" t="str">
        <f>T("   900150")</f>
        <v xml:space="preserve">   900150</v>
      </c>
      <c r="B5724" t="str">
        <f>T("   Verres de lunetterie en matières autres que le verre")</f>
        <v xml:space="preserve">   Verres de lunetterie en matières autres que le verre</v>
      </c>
      <c r="C5724">
        <v>901945</v>
      </c>
      <c r="D5724">
        <v>0.1</v>
      </c>
    </row>
    <row r="5725" spans="1:4" x14ac:dyDescent="0.25">
      <c r="A5725" t="str">
        <f>T("   900190")</f>
        <v xml:space="preserve">   900190</v>
      </c>
      <c r="B5725" t="str">
        <f>T("   Lentilles, prismes, miroirs et autres éléments d'optique, en toutes matières, non montés (autres que ceux en verre non travaillé optiquement ainsi que les verres de contact et les verres de lunetterie)")</f>
        <v xml:space="preserve">   Lentilles, prismes, miroirs et autres éléments d'optique, en toutes matières, non montés (autres que ceux en verre non travaillé optiquement ainsi que les verres de contact et les verres de lunetterie)</v>
      </c>
      <c r="C5725">
        <v>559427</v>
      </c>
      <c r="D5725">
        <v>3.1</v>
      </c>
    </row>
    <row r="5726" spans="1:4" x14ac:dyDescent="0.25">
      <c r="A5726" t="str">
        <f>T("   900290")</f>
        <v xml:space="preserve">   900290</v>
      </c>
      <c r="B5726" t="str">
        <f>T("   Lentilles, prismes, miroirs et autres éléments d'optique, en toutes matières, montés, pour instruments ou appareils (autres que ceux en verre non travaillé optiquement ainsi que les filtres et les objectifs)")</f>
        <v xml:space="preserve">   Lentilles, prismes, miroirs et autres éléments d'optique, en toutes matières, montés, pour instruments ou appareils (autres que ceux en verre non travaillé optiquement ainsi que les filtres et les objectifs)</v>
      </c>
      <c r="C5726">
        <v>101020</v>
      </c>
      <c r="D5726">
        <v>36</v>
      </c>
    </row>
    <row r="5727" spans="1:4" x14ac:dyDescent="0.25">
      <c r="A5727" t="str">
        <f>T("   900319")</f>
        <v xml:space="preserve">   900319</v>
      </c>
      <c r="B5727" t="str">
        <f>T("   Montures de lunettes ou d'articles simil. (autres qu'en matières plastiques)")</f>
        <v xml:space="preserve">   Montures de lunettes ou d'articles simil. (autres qu'en matières plastiques)</v>
      </c>
      <c r="C5727">
        <v>2348857</v>
      </c>
      <c r="D5727">
        <v>261</v>
      </c>
    </row>
    <row r="5728" spans="1:4" x14ac:dyDescent="0.25">
      <c r="A5728" t="str">
        <f>T("   900490")</f>
        <v xml:space="preserve">   900490</v>
      </c>
      <c r="B5728" t="str">
        <f>T("   Lunettes correctrices, protectrices ou autres et articles simil. (à l'excl. des lunettes pour tests visuels, des lunettes solaires, des verres de contact, des verres de lunetterie et des montures de lunettes)")</f>
        <v xml:space="preserve">   Lunettes correctrices, protectrices ou autres et articles simil. (à l'excl. des lunettes pour tests visuels, des lunettes solaires, des verres de contact, des verres de lunetterie et des montures de lunettes)</v>
      </c>
      <c r="C5728">
        <v>3039187</v>
      </c>
      <c r="D5728">
        <v>1507</v>
      </c>
    </row>
    <row r="5729" spans="1:4" x14ac:dyDescent="0.25">
      <c r="A5729" t="str">
        <f>T("   900669")</f>
        <v xml:space="preserve">   900669</v>
      </c>
      <c r="B5729" t="str">
        <f>T("   Appareils et dispositifs pour la production de lumière-éclair en photographie (à l'excl. des appareils à tube à décharge, dits 'flashes électroniques', des lampes-éclair, cubes-éclairs et simil.)")</f>
        <v xml:space="preserve">   Appareils et dispositifs pour la production de lumière-éclair en photographie (à l'excl. des appareils à tube à décharge, dits 'flashes électroniques', des lampes-éclair, cubes-éclairs et simil.)</v>
      </c>
      <c r="C5729">
        <v>268146</v>
      </c>
      <c r="D5729">
        <v>285</v>
      </c>
    </row>
    <row r="5730" spans="1:4" x14ac:dyDescent="0.25">
      <c r="A5730" t="str">
        <f>T("   900691")</f>
        <v xml:space="preserve">   900691</v>
      </c>
      <c r="B5730" t="str">
        <f>T("   Parties et accessoires d'appareils photographiques, n.d.a.")</f>
        <v xml:space="preserve">   Parties et accessoires d'appareils photographiques, n.d.a.</v>
      </c>
      <c r="C5730">
        <v>70000</v>
      </c>
      <c r="D5730">
        <v>62</v>
      </c>
    </row>
    <row r="5731" spans="1:4" x14ac:dyDescent="0.25">
      <c r="A5731" t="str">
        <f>T("   900699")</f>
        <v xml:space="preserve">   900699</v>
      </c>
      <c r="B5731" t="str">
        <f>T("   Parties et accessoires des appareils et dispositifs pour la production de la lumière-éclair en photographie, n.d.a.")</f>
        <v xml:space="preserve">   Parties et accessoires des appareils et dispositifs pour la production de la lumière-éclair en photographie, n.d.a.</v>
      </c>
      <c r="C5731">
        <v>259761</v>
      </c>
      <c r="D5731">
        <v>282</v>
      </c>
    </row>
    <row r="5732" spans="1:4" x14ac:dyDescent="0.25">
      <c r="A5732" t="str">
        <f>T("   900719")</f>
        <v xml:space="preserve">   900719</v>
      </c>
      <c r="B5732" t="str">
        <f>T("   Caméras cinématographiques, pour films d'une largeur &gt;= 16 mm (à l'excl. des films double-8 mm)")</f>
        <v xml:space="preserve">   Caméras cinématographiques, pour films d'une largeur &gt;= 16 mm (à l'excl. des films double-8 mm)</v>
      </c>
      <c r="C5732">
        <v>10511996</v>
      </c>
      <c r="D5732">
        <v>237</v>
      </c>
    </row>
    <row r="5733" spans="1:4" x14ac:dyDescent="0.25">
      <c r="A5733" t="str">
        <f>T("   900720")</f>
        <v xml:space="preserve">   900720</v>
      </c>
      <c r="B5733" t="str">
        <f>T("   Projecteurs cinématographiques")</f>
        <v xml:space="preserve">   Projecteurs cinématographiques</v>
      </c>
      <c r="C5733">
        <v>150000</v>
      </c>
      <c r="D5733">
        <v>145</v>
      </c>
    </row>
    <row r="5734" spans="1:4" x14ac:dyDescent="0.25">
      <c r="A5734" t="str">
        <f>T("   900791")</f>
        <v xml:space="preserve">   900791</v>
      </c>
      <c r="B5734" t="str">
        <f>T("   PARTIES ET ACCESSOIRES DE CAMÉRAS CINEMATOGRAPHIQUES, N.D.A.")</f>
        <v xml:space="preserve">   PARTIES ET ACCESSOIRES DE CAMÉRAS CINEMATOGRAPHIQUES, N.D.A.</v>
      </c>
      <c r="C5734">
        <v>801583</v>
      </c>
      <c r="D5734">
        <v>65</v>
      </c>
    </row>
    <row r="5735" spans="1:4" x14ac:dyDescent="0.25">
      <c r="A5735" t="str">
        <f>T("   900911")</f>
        <v xml:space="preserve">   900911</v>
      </c>
      <c r="B5735" t="str">
        <f>T("   Appareils de photocopie électrostatiques, fonctionnant par reproduction directe de l'image de l'original sur la copie [procédé direct]")</f>
        <v xml:space="preserve">   Appareils de photocopie électrostatiques, fonctionnant par reproduction directe de l'image de l'original sur la copie [procédé direct]</v>
      </c>
      <c r="C5735">
        <v>89486273</v>
      </c>
      <c r="D5735">
        <v>11888.2</v>
      </c>
    </row>
    <row r="5736" spans="1:4" x14ac:dyDescent="0.25">
      <c r="A5736" t="str">
        <f>T("   900912")</f>
        <v xml:space="preserve">   900912</v>
      </c>
      <c r="B5736" t="str">
        <f>T("   Appareils de photocopie électrostatiques, fonctionnant par reproduction de l'image de l'original sur la copie au moyen d'un support intermédiaire [procédé indirect]")</f>
        <v xml:space="preserve">   Appareils de photocopie électrostatiques, fonctionnant par reproduction de l'image de l'original sur la copie au moyen d'un support intermédiaire [procédé indirect]</v>
      </c>
      <c r="C5736">
        <v>531328</v>
      </c>
      <c r="D5736">
        <v>1191</v>
      </c>
    </row>
    <row r="5737" spans="1:4" x14ac:dyDescent="0.25">
      <c r="A5737" t="str">
        <f>T("   900921")</f>
        <v xml:space="preserve">   900921</v>
      </c>
      <c r="B5737" t="str">
        <f>T("   Appareils de photocopie à système optique (autres qu'électrostatiques)")</f>
        <v xml:space="preserve">   Appareils de photocopie à système optique (autres qu'électrostatiques)</v>
      </c>
      <c r="C5737">
        <v>23759415</v>
      </c>
      <c r="D5737">
        <v>11334</v>
      </c>
    </row>
    <row r="5738" spans="1:4" x14ac:dyDescent="0.25">
      <c r="A5738" t="str">
        <f>T("   900922")</f>
        <v xml:space="preserve">   900922</v>
      </c>
      <c r="B5738" t="str">
        <f>T("   APPAREILS DE PHOTOCOPIE PAR CONTACT")</f>
        <v xml:space="preserve">   APPAREILS DE PHOTOCOPIE PAR CONTACT</v>
      </c>
      <c r="C5738">
        <v>3062677</v>
      </c>
      <c r="D5738">
        <v>555</v>
      </c>
    </row>
    <row r="5739" spans="1:4" x14ac:dyDescent="0.25">
      <c r="A5739" t="str">
        <f>T("   900990")</f>
        <v xml:space="preserve">   900990</v>
      </c>
      <c r="B5739" t="str">
        <f>T("   PARTIES ET ACCESSOIRES D'APPAREILS DE PHOTOCOPIE ET DE THERMOCOPIE")</f>
        <v xml:space="preserve">   PARTIES ET ACCESSOIRES D'APPAREILS DE PHOTOCOPIE ET DE THERMOCOPIE</v>
      </c>
      <c r="C5739">
        <v>1100000</v>
      </c>
      <c r="D5739">
        <v>730</v>
      </c>
    </row>
    <row r="5740" spans="1:4" x14ac:dyDescent="0.25">
      <c r="A5740" t="str">
        <f>T("   900991")</f>
        <v xml:space="preserve">   900991</v>
      </c>
      <c r="B5740" t="str">
        <f>T("   Dispositifs automatiques d'alimentation en documents d'appareils de photocopie et de thermocopie")</f>
        <v xml:space="preserve">   Dispositifs automatiques d'alimentation en documents d'appareils de photocopie et de thermocopie</v>
      </c>
      <c r="C5740">
        <v>703156</v>
      </c>
      <c r="D5740">
        <v>60</v>
      </c>
    </row>
    <row r="5741" spans="1:4" x14ac:dyDescent="0.25">
      <c r="A5741" t="str">
        <f>T("   900999")</f>
        <v xml:space="preserve">   900999</v>
      </c>
      <c r="B5741" t="str">
        <f>T("   Parties et accessoires d'appareils de photocopie et de thermocopie, n.d.a. (à l'excl. des dispositifs automatiques d'alimentation en documents, des dispositifs d'alimentation en papier et des dispositifs de tri)")</f>
        <v xml:space="preserve">   Parties et accessoires d'appareils de photocopie et de thermocopie, n.d.a. (à l'excl. des dispositifs automatiques d'alimentation en documents, des dispositifs d'alimentation en papier et des dispositifs de tri)</v>
      </c>
      <c r="C5741">
        <v>87272992</v>
      </c>
      <c r="D5741">
        <v>7976.68</v>
      </c>
    </row>
    <row r="5742" spans="1:4" x14ac:dyDescent="0.25">
      <c r="A5742" t="str">
        <f>T("   901010")</f>
        <v xml:space="preserve">   901010</v>
      </c>
      <c r="B5742" t="s">
        <v>499</v>
      </c>
      <c r="C5742">
        <v>1902284</v>
      </c>
      <c r="D5742">
        <v>1186</v>
      </c>
    </row>
    <row r="5743" spans="1:4" x14ac:dyDescent="0.25">
      <c r="A5743" t="str">
        <f>T("   901050")</f>
        <v xml:space="preserve">   901050</v>
      </c>
      <c r="B5743" t="str">
        <f>T("   Appareils et matériel pour laboratoires photographiques ou cinématographiques, n.d.a.; négatoscopes")</f>
        <v xml:space="preserve">   Appareils et matériel pour laboratoires photographiques ou cinématographiques, n.d.a.; négatoscopes</v>
      </c>
      <c r="C5743">
        <v>1100000</v>
      </c>
      <c r="D5743">
        <v>2000</v>
      </c>
    </row>
    <row r="5744" spans="1:4" x14ac:dyDescent="0.25">
      <c r="A5744" t="str">
        <f>T("   901060")</f>
        <v xml:space="preserve">   901060</v>
      </c>
      <c r="B5744" t="str">
        <f>T("   ECRANS POUR PROJECTIONS")</f>
        <v xml:space="preserve">   ECRANS POUR PROJECTIONS</v>
      </c>
      <c r="C5744">
        <v>3827696</v>
      </c>
      <c r="D5744">
        <v>1225</v>
      </c>
    </row>
    <row r="5745" spans="1:4" x14ac:dyDescent="0.25">
      <c r="A5745" t="str">
        <f>T("   901180")</f>
        <v xml:space="preserve">   901180</v>
      </c>
      <c r="B5745" t="s">
        <v>500</v>
      </c>
      <c r="C5745">
        <v>26199482</v>
      </c>
      <c r="D5745">
        <v>371</v>
      </c>
    </row>
    <row r="5746" spans="1:4" x14ac:dyDescent="0.25">
      <c r="A5746" t="str">
        <f>T("   901290")</f>
        <v xml:space="preserve">   901290</v>
      </c>
      <c r="B5746" t="str">
        <f>T("   Parties et accessoires de microscopes électroniques, de microscopes protoniques et de diffractographes")</f>
        <v xml:space="preserve">   Parties et accessoires de microscopes électroniques, de microscopes protoniques et de diffractographes</v>
      </c>
      <c r="C5746">
        <v>300000</v>
      </c>
      <c r="D5746">
        <v>134</v>
      </c>
    </row>
    <row r="5747" spans="1:4" x14ac:dyDescent="0.25">
      <c r="A5747" t="str">
        <f>T("   901380")</f>
        <v xml:space="preserve">   901380</v>
      </c>
      <c r="B5747" t="str">
        <f>T("   DISPOSITIFS À CRISTAUX LIQUIDES, N.D.A., ET AUTRES APPAREILS ET INSTRUMENTS D'OPTIQUE, N.D.A. DANS LE PRÉSENT CHAPITRE")</f>
        <v xml:space="preserve">   DISPOSITIFS À CRISTAUX LIQUIDES, N.D.A., ET AUTRES APPAREILS ET INSTRUMENTS D'OPTIQUE, N.D.A. DANS LE PRÉSENT CHAPITRE</v>
      </c>
      <c r="C5747">
        <v>198756</v>
      </c>
      <c r="D5747">
        <v>8</v>
      </c>
    </row>
    <row r="5748" spans="1:4" x14ac:dyDescent="0.25">
      <c r="A5748" t="str">
        <f>T("   901390")</f>
        <v xml:space="preserve">   901390</v>
      </c>
      <c r="B5748" t="str">
        <f>T("   PARTIES ET ACCESSOIRES DE DISPOSITIFS À CRISTAUX LIQUIDES, LASERS ET AUTRES APPAREILS ET INSTRUMENTS, N.D.A. DANS LE PRÉSENT CHAPITRE")</f>
        <v xml:space="preserve">   PARTIES ET ACCESSOIRES DE DISPOSITIFS À CRISTAUX LIQUIDES, LASERS ET AUTRES APPAREILS ET INSTRUMENTS, N.D.A. DANS LE PRÉSENT CHAPITRE</v>
      </c>
      <c r="C5748">
        <v>527393</v>
      </c>
      <c r="D5748">
        <v>42</v>
      </c>
    </row>
    <row r="5749" spans="1:4" x14ac:dyDescent="0.25">
      <c r="A5749" t="str">
        <f>T("   901410")</f>
        <v xml:space="preserve">   901410</v>
      </c>
      <c r="B5749" t="str">
        <f>T("   Boussoles, y.c. les compas de navigation")</f>
        <v xml:space="preserve">   Boussoles, y.c. les compas de navigation</v>
      </c>
      <c r="C5749">
        <v>159726</v>
      </c>
      <c r="D5749">
        <v>76</v>
      </c>
    </row>
    <row r="5750" spans="1:4" x14ac:dyDescent="0.25">
      <c r="A5750" t="str">
        <f>T("   901520")</f>
        <v xml:space="preserve">   901520</v>
      </c>
      <c r="B5750" t="str">
        <f>T("   Théodolites et tachéomètres")</f>
        <v xml:space="preserve">   Théodolites et tachéomètres</v>
      </c>
      <c r="C5750">
        <v>9666030</v>
      </c>
      <c r="D5750">
        <v>205</v>
      </c>
    </row>
    <row r="5751" spans="1:4" x14ac:dyDescent="0.25">
      <c r="A5751" t="str">
        <f>T("   901530")</f>
        <v xml:space="preserve">   901530</v>
      </c>
      <c r="B5751" t="str">
        <f>T("   Niveaux")</f>
        <v xml:space="preserve">   Niveaux</v>
      </c>
      <c r="C5751">
        <v>2456571</v>
      </c>
      <c r="D5751">
        <v>524</v>
      </c>
    </row>
    <row r="5752" spans="1:4" x14ac:dyDescent="0.25">
      <c r="A5752" t="str">
        <f>T("   901580")</f>
        <v xml:space="preserve">   901580</v>
      </c>
      <c r="B5752" t="s">
        <v>501</v>
      </c>
      <c r="C5752">
        <v>75431322</v>
      </c>
      <c r="D5752">
        <v>2580</v>
      </c>
    </row>
    <row r="5753" spans="1:4" x14ac:dyDescent="0.25">
      <c r="A5753" t="str">
        <f>T("   901590")</f>
        <v xml:space="preserve">   901590</v>
      </c>
      <c r="B5753" t="str">
        <f>T("   Parties et accessoires des instruments et appareils de géodésie, de topographie, d'arpentage, de nivellement, de photogrammétrie, d'hydrographie, d'océanographie, d'hydrologie, de météorologie ou de géophysique ainsi que des télémètres, n.d.a.")</f>
        <v xml:space="preserve">   Parties et accessoires des instruments et appareils de géodésie, de topographie, d'arpentage, de nivellement, de photogrammétrie, d'hydrographie, d'océanographie, d'hydrologie, de météorologie ou de géophysique ainsi que des télémètres, n.d.a.</v>
      </c>
      <c r="C5753">
        <v>22696872</v>
      </c>
      <c r="D5753">
        <v>705</v>
      </c>
    </row>
    <row r="5754" spans="1:4" x14ac:dyDescent="0.25">
      <c r="A5754" t="str">
        <f>T("   901600")</f>
        <v xml:space="preserve">   901600</v>
      </c>
      <c r="B5754" t="str">
        <f>T("   Balances sensibles à un poids de 5 cg ou moins, avec ou sans poids")</f>
        <v xml:space="preserve">   Balances sensibles à un poids de 5 cg ou moins, avec ou sans poids</v>
      </c>
      <c r="C5754">
        <v>2319048</v>
      </c>
      <c r="D5754">
        <v>170</v>
      </c>
    </row>
    <row r="5755" spans="1:4" x14ac:dyDescent="0.25">
      <c r="A5755" t="str">
        <f>T("   901720")</f>
        <v xml:space="preserve">   901720</v>
      </c>
      <c r="B5755" t="str">
        <f>T("   Instruments de dessin, de traçage et de calcul (sauf tables et machines à dessiner ainsi que calculatrices)")</f>
        <v xml:space="preserve">   Instruments de dessin, de traçage et de calcul (sauf tables et machines à dessiner ainsi que calculatrices)</v>
      </c>
      <c r="C5755">
        <v>16831489</v>
      </c>
      <c r="D5755">
        <v>5038</v>
      </c>
    </row>
    <row r="5756" spans="1:4" x14ac:dyDescent="0.25">
      <c r="A5756" t="str">
        <f>T("   901730")</f>
        <v xml:space="preserve">   901730</v>
      </c>
      <c r="B5756" t="str">
        <f>T("   Micromètres, pieds à coulisses, calibres et jauges")</f>
        <v xml:space="preserve">   Micromètres, pieds à coulisses, calibres et jauges</v>
      </c>
      <c r="C5756">
        <v>1038580</v>
      </c>
      <c r="D5756">
        <v>27</v>
      </c>
    </row>
    <row r="5757" spans="1:4" x14ac:dyDescent="0.25">
      <c r="A5757" t="str">
        <f>T("   901780")</f>
        <v xml:space="preserve">   901780</v>
      </c>
      <c r="B5757" t="str">
        <f>T("   Instruments de mesure de longueurs, pour emploi à la main, n.d.a.")</f>
        <v xml:space="preserve">   Instruments de mesure de longueurs, pour emploi à la main, n.d.a.</v>
      </c>
      <c r="C5757">
        <v>13989207</v>
      </c>
      <c r="D5757">
        <v>1932</v>
      </c>
    </row>
    <row r="5758" spans="1:4" x14ac:dyDescent="0.25">
      <c r="A5758" t="str">
        <f>T("   901790")</f>
        <v xml:space="preserve">   901790</v>
      </c>
      <c r="B5758" t="str">
        <f>T("   Parties et accessoires des instruments de dessin, de traçage ou de calcul et de mesure de longueurs pour emploi à la main, n.d.a.")</f>
        <v xml:space="preserve">   Parties et accessoires des instruments de dessin, de traçage ou de calcul et de mesure de longueurs pour emploi à la main, n.d.a.</v>
      </c>
      <c r="C5758">
        <v>666455</v>
      </c>
      <c r="D5758">
        <v>132</v>
      </c>
    </row>
    <row r="5759" spans="1:4" x14ac:dyDescent="0.25">
      <c r="A5759" t="str">
        <f>T("   901811")</f>
        <v xml:space="preserve">   901811</v>
      </c>
      <c r="B5759" t="str">
        <f>T("   ÉLECTROCARDIOGRAPHES")</f>
        <v xml:space="preserve">   ÉLECTROCARDIOGRAPHES</v>
      </c>
      <c r="C5759">
        <v>682198</v>
      </c>
      <c r="D5759">
        <v>63</v>
      </c>
    </row>
    <row r="5760" spans="1:4" x14ac:dyDescent="0.25">
      <c r="A5760" t="str">
        <f>T("   901812")</f>
        <v xml:space="preserve">   901812</v>
      </c>
      <c r="B5760" t="str">
        <f>T("   Appareils de diagnostic par balayage ultrasonique [scanners]")</f>
        <v xml:space="preserve">   Appareils de diagnostic par balayage ultrasonique [scanners]</v>
      </c>
      <c r="C5760">
        <v>918344</v>
      </c>
      <c r="D5760">
        <v>215</v>
      </c>
    </row>
    <row r="5761" spans="1:4" x14ac:dyDescent="0.25">
      <c r="A5761" t="str">
        <f>T("   901813")</f>
        <v xml:space="preserve">   901813</v>
      </c>
      <c r="B5761" t="str">
        <f>T("   Appareils de diagnostic par visualisation à résonance magnétique")</f>
        <v xml:space="preserve">   Appareils de diagnostic par visualisation à résonance magnétique</v>
      </c>
      <c r="C5761">
        <v>892106</v>
      </c>
      <c r="D5761">
        <v>100</v>
      </c>
    </row>
    <row r="5762" spans="1:4" x14ac:dyDescent="0.25">
      <c r="A5762" t="str">
        <f>T("   901819")</f>
        <v xml:space="preserve">   901819</v>
      </c>
      <c r="B5762" t="s">
        <v>502</v>
      </c>
      <c r="C5762">
        <v>27611078</v>
      </c>
      <c r="D5762">
        <v>2016</v>
      </c>
    </row>
    <row r="5763" spans="1:4" x14ac:dyDescent="0.25">
      <c r="A5763" t="str">
        <f>T("   901831")</f>
        <v xml:space="preserve">   901831</v>
      </c>
      <c r="B5763" t="str">
        <f>T("   Seringues, avec ou sans aiguilles, pour la médecine")</f>
        <v xml:space="preserve">   Seringues, avec ou sans aiguilles, pour la médecine</v>
      </c>
      <c r="C5763">
        <v>21804066</v>
      </c>
      <c r="D5763">
        <v>1631</v>
      </c>
    </row>
    <row r="5764" spans="1:4" x14ac:dyDescent="0.25">
      <c r="A5764" t="str">
        <f>T("   901832")</f>
        <v xml:space="preserve">   901832</v>
      </c>
      <c r="B5764" t="str">
        <f>T("   Aiguilles tubulaires en métal et aiguilles à sutures, pour la médecine")</f>
        <v xml:space="preserve">   Aiguilles tubulaires en métal et aiguilles à sutures, pour la médecine</v>
      </c>
      <c r="C5764">
        <v>1972471</v>
      </c>
      <c r="D5764">
        <v>133</v>
      </c>
    </row>
    <row r="5765" spans="1:4" x14ac:dyDescent="0.25">
      <c r="A5765" t="str">
        <f>T("   901839")</f>
        <v xml:space="preserve">   901839</v>
      </c>
      <c r="B5765" t="str">
        <f>T("   AIGUILLES, CTHEÉTERS, CANULES ET SIMIL. POUR LA MÉDECINE (SAUF SERINGUES, AIGUILLES TUBULAIRES EN MÉTAL ET AIGUILLES À SUTURES)")</f>
        <v xml:space="preserve">   AIGUILLES, CTHEÉTERS, CANULES ET SIMIL. POUR LA MÉDECINE (SAUF SERINGUES, AIGUILLES TUBULAIRES EN MÉTAL ET AIGUILLES À SUTURES)</v>
      </c>
      <c r="C5765">
        <v>4458916</v>
      </c>
      <c r="D5765">
        <v>1784</v>
      </c>
    </row>
    <row r="5766" spans="1:4" x14ac:dyDescent="0.25">
      <c r="A5766" t="str">
        <f>T("   901849")</f>
        <v xml:space="preserve">   901849</v>
      </c>
      <c r="B5766" t="str">
        <f>T("   Instruments et appareils pour l'art dentaire, n.d.a.")</f>
        <v xml:space="preserve">   Instruments et appareils pour l'art dentaire, n.d.a.</v>
      </c>
      <c r="C5766">
        <v>4471933</v>
      </c>
      <c r="D5766">
        <v>2925</v>
      </c>
    </row>
    <row r="5767" spans="1:4" x14ac:dyDescent="0.25">
      <c r="A5767" t="str">
        <f>T("   901850")</f>
        <v xml:space="preserve">   901850</v>
      </c>
      <c r="B5767" t="str">
        <f>T("   Instruments et appareils d'ophtalmologie, n.d.a.")</f>
        <v xml:space="preserve">   Instruments et appareils d'ophtalmologie, n.d.a.</v>
      </c>
      <c r="C5767">
        <v>500498</v>
      </c>
      <c r="D5767">
        <v>2250</v>
      </c>
    </row>
    <row r="5768" spans="1:4" x14ac:dyDescent="0.25">
      <c r="A5768" t="str">
        <f>T("   901890")</f>
        <v xml:space="preserve">   901890</v>
      </c>
      <c r="B5768" t="str">
        <f>T("   Instruments et appareils pour la médecine, la chirurgie ou l'art vétérinaire, n.d.a.")</f>
        <v xml:space="preserve">   Instruments et appareils pour la médecine, la chirurgie ou l'art vétérinaire, n.d.a.</v>
      </c>
      <c r="C5768">
        <v>698121738</v>
      </c>
      <c r="D5768">
        <v>36668.1</v>
      </c>
    </row>
    <row r="5769" spans="1:4" x14ac:dyDescent="0.25">
      <c r="A5769" t="str">
        <f>T("   901910")</f>
        <v xml:space="preserve">   901910</v>
      </c>
      <c r="B5769" t="str">
        <f>T("   Appareils de mécanothérapie, appareils de massage et appareils de psychotechnie")</f>
        <v xml:space="preserve">   Appareils de mécanothérapie, appareils de massage et appareils de psychotechnie</v>
      </c>
      <c r="C5769">
        <v>186587</v>
      </c>
      <c r="D5769">
        <v>90</v>
      </c>
    </row>
    <row r="5770" spans="1:4" x14ac:dyDescent="0.25">
      <c r="A5770" t="str">
        <f>T("   901920")</f>
        <v xml:space="preserve">   901920</v>
      </c>
      <c r="B5770" t="str">
        <f>T("   APPAREILS D'OZONOTHERAPIE, D'OXYGÉNOTHERAPIE, D'AÉROSOLTHERAPIE; APPAREILS RESPIRATOIRES DE RÉANIMATION ET AUTRES APPAREILS DE THERAPIE RESPIRATOIRE")</f>
        <v xml:space="preserve">   APPAREILS D'OZONOTHERAPIE, D'OXYGÉNOTHERAPIE, D'AÉROSOLTHERAPIE; APPAREILS RESPIRATOIRES DE RÉANIMATION ET AUTRES APPAREILS DE THERAPIE RESPIRATOIRE</v>
      </c>
      <c r="C5770">
        <v>1017235</v>
      </c>
      <c r="D5770">
        <v>1067</v>
      </c>
    </row>
    <row r="5771" spans="1:4" x14ac:dyDescent="0.25">
      <c r="A5771" t="str">
        <f>T("   902000")</f>
        <v xml:space="preserve">   902000</v>
      </c>
      <c r="B5771" t="str">
        <f>T("   APPAREILS RESPIRATOIRES ET MASQUES À GAZ (À L'EXCL. DES MASQUES DE PROTECTION DÉPOURVUS DE MÉCANISME ET D'ÉLÉMENT FILTRANT AMOVIBLE AINSI QUE DES APPAREILS DE RESPIRATOIRES DE RÉANIMATION ET AUTRES APPAREILS DE THERAPIE RESPIRATOIRE)")</f>
        <v xml:space="preserve">   APPAREILS RESPIRATOIRES ET MASQUES À GAZ (À L'EXCL. DES MASQUES DE PROTECTION DÉPOURVUS DE MÉCANISME ET D'ÉLÉMENT FILTRANT AMOVIBLE AINSI QUE DES APPAREILS DE RESPIRATOIRES DE RÉANIMATION ET AUTRES APPAREILS DE THERAPIE RESPIRATOIRE)</v>
      </c>
      <c r="C5771">
        <v>4224383</v>
      </c>
      <c r="D5771">
        <v>5659</v>
      </c>
    </row>
    <row r="5772" spans="1:4" x14ac:dyDescent="0.25">
      <c r="A5772" t="str">
        <f>T("   902110")</f>
        <v xml:space="preserve">   902110</v>
      </c>
      <c r="B5772" t="str">
        <f>T("   Appareils d'orthopédie ou pour fractures")</f>
        <v xml:space="preserve">   Appareils d'orthopédie ou pour fractures</v>
      </c>
      <c r="C5772">
        <v>8916233</v>
      </c>
      <c r="D5772">
        <v>1756</v>
      </c>
    </row>
    <row r="5773" spans="1:4" x14ac:dyDescent="0.25">
      <c r="A5773" t="str">
        <f>T("   902140")</f>
        <v xml:space="preserve">   902140</v>
      </c>
      <c r="B5773" t="str">
        <f>T("   Appareils pour faciliter l'audition aux sourds (sauf parties et accessoires)")</f>
        <v xml:space="preserve">   Appareils pour faciliter l'audition aux sourds (sauf parties et accessoires)</v>
      </c>
      <c r="C5773">
        <v>618938</v>
      </c>
      <c r="D5773">
        <v>2</v>
      </c>
    </row>
    <row r="5774" spans="1:4" x14ac:dyDescent="0.25">
      <c r="A5774" t="str">
        <f>T("   902190")</f>
        <v xml:space="preserve">   902190</v>
      </c>
      <c r="B5774" t="s">
        <v>503</v>
      </c>
      <c r="C5774">
        <v>1667962</v>
      </c>
      <c r="D5774">
        <v>90</v>
      </c>
    </row>
    <row r="5775" spans="1:4" x14ac:dyDescent="0.25">
      <c r="A5775" t="str">
        <f>T("   902212")</f>
        <v xml:space="preserve">   902212</v>
      </c>
      <c r="B5775" t="str">
        <f>T("   Appareils de tomographie pilotés par une machine automatique de traitement de l'information")</f>
        <v xml:space="preserve">   Appareils de tomographie pilotés par une machine automatique de traitement de l'information</v>
      </c>
      <c r="C5775">
        <v>599188</v>
      </c>
      <c r="D5775">
        <v>73</v>
      </c>
    </row>
    <row r="5776" spans="1:4" x14ac:dyDescent="0.25">
      <c r="A5776" t="str">
        <f>T("   902214")</f>
        <v xml:space="preserve">   902214</v>
      </c>
      <c r="B5776" t="str">
        <f>T("   Appareils à rayons X pour usages médicaux, chirurgicaux ou vétérinaires (à l'excl. des appareils pour l'art dentaire et des appareils de tomographie pilotés par une machine automatique de traitement de l'information)")</f>
        <v xml:space="preserve">   Appareils à rayons X pour usages médicaux, chirurgicaux ou vétérinaires (à l'excl. des appareils pour l'art dentaire et des appareils de tomographie pilotés par une machine automatique de traitement de l'information)</v>
      </c>
      <c r="C5776">
        <v>479201260</v>
      </c>
      <c r="D5776">
        <v>20989</v>
      </c>
    </row>
    <row r="5777" spans="1:4" x14ac:dyDescent="0.25">
      <c r="A5777" t="str">
        <f>T("   902219")</f>
        <v xml:space="preserve">   902219</v>
      </c>
      <c r="B5777" t="str">
        <f>T("   Appareils à rayons X (à usage autre que médical, chirurgical, dentaire ou vétérinaire)")</f>
        <v xml:space="preserve">   Appareils à rayons X (à usage autre que médical, chirurgical, dentaire ou vétérinaire)</v>
      </c>
      <c r="C5777">
        <v>4974172</v>
      </c>
      <c r="D5777">
        <v>140.19999999999999</v>
      </c>
    </row>
    <row r="5778" spans="1:4" x14ac:dyDescent="0.25">
      <c r="A5778" t="str">
        <f>T("   902221")</f>
        <v xml:space="preserve">   902221</v>
      </c>
      <c r="B5778" t="str">
        <f>T("   Appareils utilisant les radiations alpha, bêta ou gamma, à usage médical, chirurgical, dentaire ou vétérinaire")</f>
        <v xml:space="preserve">   Appareils utilisant les radiations alpha, bêta ou gamma, à usage médical, chirurgical, dentaire ou vétérinaire</v>
      </c>
      <c r="C5778">
        <v>3741926</v>
      </c>
      <c r="D5778">
        <v>744</v>
      </c>
    </row>
    <row r="5779" spans="1:4" x14ac:dyDescent="0.25">
      <c r="A5779" t="str">
        <f>T("   902300")</f>
        <v xml:space="preserve">   902300</v>
      </c>
      <c r="B5779" t="s">
        <v>504</v>
      </c>
      <c r="C5779">
        <v>300000</v>
      </c>
      <c r="D5779">
        <v>100</v>
      </c>
    </row>
    <row r="5780" spans="1:4" x14ac:dyDescent="0.25">
      <c r="A5780" t="str">
        <f>T("   902480")</f>
        <v xml:space="preserve">   902480</v>
      </c>
      <c r="B5780" t="str">
        <f>T("   Machines et appareils d'essais des propriétés mécaniques des matériaux (autres que les métaux)")</f>
        <v xml:space="preserve">   Machines et appareils d'essais des propriétés mécaniques des matériaux (autres que les métaux)</v>
      </c>
      <c r="C5780">
        <v>13767289</v>
      </c>
      <c r="D5780">
        <v>378</v>
      </c>
    </row>
    <row r="5781" spans="1:4" x14ac:dyDescent="0.25">
      <c r="A5781" t="str">
        <f>T("   902511")</f>
        <v xml:space="preserve">   902511</v>
      </c>
      <c r="B5781" t="str">
        <f>T("   THERMOMÈTRES À LIQUIDE, À LECTURE DIRECTE, NON-COMBINÉS À D'AUTRES INSTRUMENTS")</f>
        <v xml:space="preserve">   THERMOMÈTRES À LIQUIDE, À LECTURE DIRECTE, NON-COMBINÉS À D'AUTRES INSTRUMENTS</v>
      </c>
      <c r="C5781">
        <v>1443775</v>
      </c>
      <c r="D5781">
        <v>159</v>
      </c>
    </row>
    <row r="5782" spans="1:4" x14ac:dyDescent="0.25">
      <c r="A5782" t="str">
        <f>T("   902519")</f>
        <v xml:space="preserve">   902519</v>
      </c>
      <c r="B5782" t="str">
        <f>T("   THERMOMÈTRES ET PYROMÈTRES, NON-COMBINÉS À D'AUTRES INSTRUMENTS (À L'EXCL. DES THERMOMÈTRES À LIQUIDE, À LECTURE DIRECTE) [01/01/1988-31/12/1991: THERMOMÈTRES, NON COMBINES A D'AUTRES INSTRUMENTS, (NON REPR. SOUS 9025.11)]")</f>
        <v xml:space="preserve">   THERMOMÈTRES ET PYROMÈTRES, NON-COMBINÉS À D'AUTRES INSTRUMENTS (À L'EXCL. DES THERMOMÈTRES À LIQUIDE, À LECTURE DIRECTE) [01/01/1988-31/12/1991: THERMOMÈTRES, NON COMBINES A D'AUTRES INSTRUMENTS, (NON REPR. SOUS 9025.11)]</v>
      </c>
      <c r="C5782">
        <v>5964492</v>
      </c>
      <c r="D5782">
        <v>124</v>
      </c>
    </row>
    <row r="5783" spans="1:4" x14ac:dyDescent="0.25">
      <c r="A5783" t="str">
        <f>T("   902580")</f>
        <v xml:space="preserve">   902580</v>
      </c>
      <c r="B5783" t="s">
        <v>505</v>
      </c>
      <c r="C5783">
        <v>21603022</v>
      </c>
      <c r="D5783">
        <v>575.5</v>
      </c>
    </row>
    <row r="5784" spans="1:4" x14ac:dyDescent="0.25">
      <c r="A5784" t="str">
        <f>T("   902590")</f>
        <v xml:space="preserve">   902590</v>
      </c>
      <c r="B5784" t="str">
        <f>T("   Parties et accessoires des densimètres, aréomètres, pèse-liquides et instruments flottants simil., des thermomètres, pyromètres, baromètres, hygromètres et psychromètres, n.d.a.")</f>
        <v xml:space="preserve">   Parties et accessoires des densimètres, aréomètres, pèse-liquides et instruments flottants simil., des thermomètres, pyromètres, baromètres, hygromètres et psychromètres, n.d.a.</v>
      </c>
      <c r="C5784">
        <v>814047</v>
      </c>
      <c r="D5784">
        <v>25</v>
      </c>
    </row>
    <row r="5785" spans="1:4" x14ac:dyDescent="0.25">
      <c r="A5785" t="str">
        <f>T("   902610")</f>
        <v xml:space="preserve">   902610</v>
      </c>
      <c r="B5785" t="str">
        <f>T("   Instruments et appareils pour la mesure ou le contrôle du débit ou du niveau des liquides (à l'excl. des compteurs et des instruments et appareils pour la régulation ou le contrôle automatiques)")</f>
        <v xml:space="preserve">   Instruments et appareils pour la mesure ou le contrôle du débit ou du niveau des liquides (à l'excl. des compteurs et des instruments et appareils pour la régulation ou le contrôle automatiques)</v>
      </c>
      <c r="C5785">
        <v>61649998</v>
      </c>
      <c r="D5785">
        <v>4524.5</v>
      </c>
    </row>
    <row r="5786" spans="1:4" x14ac:dyDescent="0.25">
      <c r="A5786" t="str">
        <f>T("   902620")</f>
        <v xml:space="preserve">   902620</v>
      </c>
      <c r="B5786" t="str">
        <f>T("   Instruments et appareils pour la mesure ou le contrôle de la pression des liquides ou des gaz (à l'excl. des instruments et appareils pour la régulation ou le contrôle automatiques)")</f>
        <v xml:space="preserve">   Instruments et appareils pour la mesure ou le contrôle de la pression des liquides ou des gaz (à l'excl. des instruments et appareils pour la régulation ou le contrôle automatiques)</v>
      </c>
      <c r="C5786">
        <v>37370890</v>
      </c>
      <c r="D5786">
        <v>531</v>
      </c>
    </row>
    <row r="5787" spans="1:4" x14ac:dyDescent="0.25">
      <c r="A5787" t="str">
        <f>T("   902680")</f>
        <v xml:space="preserve">   902680</v>
      </c>
      <c r="B5787" t="str">
        <f>T("   Instruments et appareils pour la mesure et le contrôle des caractéristiques variables des liquides ou des gaz, n.d.a.")</f>
        <v xml:space="preserve">   Instruments et appareils pour la mesure et le contrôle des caractéristiques variables des liquides ou des gaz, n.d.a.</v>
      </c>
      <c r="C5787">
        <v>3459588</v>
      </c>
      <c r="D5787">
        <v>170.2</v>
      </c>
    </row>
    <row r="5788" spans="1:4" x14ac:dyDescent="0.25">
      <c r="A5788" t="str">
        <f>T("   902690")</f>
        <v xml:space="preserve">   902690</v>
      </c>
      <c r="B5788" t="str">
        <f>T("   Parties et accessoires des instruments et appareils pour la mesure ou le contrôle du débit, du niveau, de la pression ou d'autres caractéristiques variables des liquides ou des gaz, n.d.a.")</f>
        <v xml:space="preserve">   Parties et accessoires des instruments et appareils pour la mesure ou le contrôle du débit, du niveau, de la pression ou d'autres caractéristiques variables des liquides ou des gaz, n.d.a.</v>
      </c>
      <c r="C5788">
        <v>13631726</v>
      </c>
      <c r="D5788">
        <v>168</v>
      </c>
    </row>
    <row r="5789" spans="1:4" x14ac:dyDescent="0.25">
      <c r="A5789" t="str">
        <f>T("   902710")</f>
        <v xml:space="preserve">   902710</v>
      </c>
      <c r="B5789" t="str">
        <f>T("   Analyseurs de gaz ou de fumées")</f>
        <v xml:space="preserve">   Analyseurs de gaz ou de fumées</v>
      </c>
      <c r="C5789">
        <v>6649931</v>
      </c>
      <c r="D5789">
        <v>823</v>
      </c>
    </row>
    <row r="5790" spans="1:4" x14ac:dyDescent="0.25">
      <c r="A5790" t="str">
        <f>T("   902720")</f>
        <v xml:space="preserve">   902720</v>
      </c>
      <c r="B5790" t="str">
        <f>T("   Chromatographes et appareils d'électrophorèse")</f>
        <v xml:space="preserve">   Chromatographes et appareils d'électrophorèse</v>
      </c>
      <c r="C5790">
        <v>115541</v>
      </c>
      <c r="D5790">
        <v>40</v>
      </c>
    </row>
    <row r="5791" spans="1:4" x14ac:dyDescent="0.25">
      <c r="A5791" t="str">
        <f>T("   902730")</f>
        <v xml:space="preserve">   902730</v>
      </c>
      <c r="B5791" t="str">
        <f>T("   Spectromètres, spectrophotomètres et spectrographes utilisant les rayonnements optiques: UV, visibles, IR")</f>
        <v xml:space="preserve">   Spectromètres, spectrophotomètres et spectrographes utilisant les rayonnements optiques: UV, visibles, IR</v>
      </c>
      <c r="C5791">
        <v>318141</v>
      </c>
      <c r="D5791">
        <v>63</v>
      </c>
    </row>
    <row r="5792" spans="1:4" x14ac:dyDescent="0.25">
      <c r="A5792" t="str">
        <f>T("   902750")</f>
        <v xml:space="preserve">   902750</v>
      </c>
      <c r="B5792" t="str">
        <f>T("   Instruments et appareils utilisant les rayonnements optiques: UV, visibles, IR (à l'excl. des spectromètres, spectrophotomètres et spectrographes ainsi que des analyseurs de gaz ou de fumées)")</f>
        <v xml:space="preserve">   Instruments et appareils utilisant les rayonnements optiques: UV, visibles, IR (à l'excl. des spectromètres, spectrophotomètres et spectrographes ainsi que des analyseurs de gaz ou de fumées)</v>
      </c>
      <c r="C5792">
        <v>9139491</v>
      </c>
      <c r="D5792">
        <v>7</v>
      </c>
    </row>
    <row r="5793" spans="1:4" x14ac:dyDescent="0.25">
      <c r="A5793" t="str">
        <f>T("   902780")</f>
        <v xml:space="preserve">   902780</v>
      </c>
      <c r="B5793" t="str">
        <f>T("   Instruments et appareils pour analyses physiques ou chimiques, ou pour essais de viscosité, de porosité, de dilatation, de tension superficielle ou simil. ou pour mesures calorimétriques ou acoustiques ou photométriques, n.d.a.")</f>
        <v xml:space="preserve">   Instruments et appareils pour analyses physiques ou chimiques, ou pour essais de viscosité, de porosité, de dilatation, de tension superficielle ou simil. ou pour mesures calorimétriques ou acoustiques ou photométriques, n.d.a.</v>
      </c>
      <c r="C5793">
        <v>20451120</v>
      </c>
      <c r="D5793">
        <v>1126</v>
      </c>
    </row>
    <row r="5794" spans="1:4" x14ac:dyDescent="0.25">
      <c r="A5794" t="str">
        <f>T("   902790")</f>
        <v xml:space="preserve">   902790</v>
      </c>
      <c r="B5794" t="s">
        <v>506</v>
      </c>
      <c r="C5794">
        <v>5776712</v>
      </c>
      <c r="D5794">
        <v>62.9</v>
      </c>
    </row>
    <row r="5795" spans="1:4" x14ac:dyDescent="0.25">
      <c r="A5795" t="str">
        <f>T("   902810")</f>
        <v xml:space="preserve">   902810</v>
      </c>
      <c r="B5795" t="str">
        <f>T("   Compteurs de gaz, y.c. les compteurs pour leur étalonnage")</f>
        <v xml:space="preserve">   Compteurs de gaz, y.c. les compteurs pour leur étalonnage</v>
      </c>
      <c r="C5795">
        <v>22084</v>
      </c>
      <c r="D5795">
        <v>3</v>
      </c>
    </row>
    <row r="5796" spans="1:4" x14ac:dyDescent="0.25">
      <c r="A5796" t="str">
        <f>T("   902820")</f>
        <v xml:space="preserve">   902820</v>
      </c>
      <c r="B5796" t="str">
        <f>T("   Compteurs de liquides, y.c. les compteurs pour leur étalonnage")</f>
        <v xml:space="preserve">   Compteurs de liquides, y.c. les compteurs pour leur étalonnage</v>
      </c>
      <c r="C5796">
        <v>18077367</v>
      </c>
      <c r="D5796">
        <v>2758</v>
      </c>
    </row>
    <row r="5797" spans="1:4" x14ac:dyDescent="0.25">
      <c r="A5797" t="str">
        <f>T("   902830")</f>
        <v xml:space="preserve">   902830</v>
      </c>
      <c r="B5797" t="str">
        <f>T("   Compteurs d'électricité, y.c. les compteurs pour leur étalonnage")</f>
        <v xml:space="preserve">   Compteurs d'électricité, y.c. les compteurs pour leur étalonnage</v>
      </c>
      <c r="C5797">
        <v>2306474</v>
      </c>
      <c r="D5797">
        <v>614</v>
      </c>
    </row>
    <row r="5798" spans="1:4" x14ac:dyDescent="0.25">
      <c r="A5798" t="str">
        <f>T("   902890")</f>
        <v xml:space="preserve">   902890</v>
      </c>
      <c r="B5798" t="str">
        <f>T("   Parties et accessoires de compteurs de gaz, de liquides ou d'électricité, n.d.a.")</f>
        <v xml:space="preserve">   Parties et accessoires de compteurs de gaz, de liquides ou d'électricité, n.d.a.</v>
      </c>
      <c r="C5798">
        <v>1576010</v>
      </c>
      <c r="D5798">
        <v>74</v>
      </c>
    </row>
    <row r="5799" spans="1:4" x14ac:dyDescent="0.25">
      <c r="A5799" t="str">
        <f>T("   902910")</f>
        <v xml:space="preserve">   902910</v>
      </c>
      <c r="B5799" t="str">
        <f>T("   Compteurs de tours, compteurs de production, taximètres, totalisateurs de chemin parcouru, podomètres et compteurs simil. (à l'excl. des compteurs de gaz, de liquides et d'électricité)")</f>
        <v xml:space="preserve">   Compteurs de tours, compteurs de production, taximètres, totalisateurs de chemin parcouru, podomètres et compteurs simil. (à l'excl. des compteurs de gaz, de liquides et d'électricité)</v>
      </c>
      <c r="C5799">
        <v>6130335</v>
      </c>
      <c r="D5799">
        <v>72.5</v>
      </c>
    </row>
    <row r="5800" spans="1:4" x14ac:dyDescent="0.25">
      <c r="A5800" t="str">
        <f>T("   902920")</f>
        <v xml:space="preserve">   902920</v>
      </c>
      <c r="B5800" t="str">
        <f>T("   Indicateurs de vitesse et tachymètres; stroboscopes")</f>
        <v xml:space="preserve">   Indicateurs de vitesse et tachymètres; stroboscopes</v>
      </c>
      <c r="C5800">
        <v>2007329</v>
      </c>
      <c r="D5800">
        <v>28</v>
      </c>
    </row>
    <row r="5801" spans="1:4" x14ac:dyDescent="0.25">
      <c r="A5801" t="str">
        <f>T("   903020")</f>
        <v xml:space="preserve">   903020</v>
      </c>
      <c r="B5801" t="str">
        <f>T("   OSCILLOSCOPES ET OSCILLOGRAPHES")</f>
        <v xml:space="preserve">   OSCILLOSCOPES ET OSCILLOGRAPHES</v>
      </c>
      <c r="C5801">
        <v>32799</v>
      </c>
      <c r="D5801">
        <v>150</v>
      </c>
    </row>
    <row r="5802" spans="1:4" x14ac:dyDescent="0.25">
      <c r="A5802" t="str">
        <f>T("   903031")</f>
        <v xml:space="preserve">   903031</v>
      </c>
      <c r="B5802" t="str">
        <f>T("   Multimètres pour la mesure de la tension, de l'intensité, de la résistance ou de la puissance, sans dispositif enregistreur")</f>
        <v xml:space="preserve">   Multimètres pour la mesure de la tension, de l'intensité, de la résistance ou de la puissance, sans dispositif enregistreur</v>
      </c>
      <c r="C5802">
        <v>1943609</v>
      </c>
      <c r="D5802">
        <v>114</v>
      </c>
    </row>
    <row r="5803" spans="1:4" x14ac:dyDescent="0.25">
      <c r="A5803" t="str">
        <f>T("   903039")</f>
        <v xml:space="preserve">   903039</v>
      </c>
      <c r="B5803" t="str">
        <f>T("   Instruments et appareils pour la mesure ou le contrôle de la tension, de l'intensité, de la résistance ou de la puissance, sans dispositif enregistreur (à l'excl. des multimètres ainsi que des oscilloscopes et oscillographes cathodiques)")</f>
        <v xml:space="preserve">   Instruments et appareils pour la mesure ou le contrôle de la tension, de l'intensité, de la résistance ou de la puissance, sans dispositif enregistreur (à l'excl. des multimètres ainsi que des oscilloscopes et oscillographes cathodiques)</v>
      </c>
      <c r="C5803">
        <v>24289594</v>
      </c>
      <c r="D5803">
        <v>2571</v>
      </c>
    </row>
    <row r="5804" spans="1:4" x14ac:dyDescent="0.25">
      <c r="A5804" t="str">
        <f>T("   903083")</f>
        <v xml:space="preserve">   903083</v>
      </c>
      <c r="B5804" t="s">
        <v>507</v>
      </c>
      <c r="C5804">
        <v>1011490</v>
      </c>
      <c r="D5804">
        <v>57</v>
      </c>
    </row>
    <row r="5805" spans="1:4" x14ac:dyDescent="0.25">
      <c r="A5805" t="str">
        <f>T("   903089")</f>
        <v xml:space="preserve">   903089</v>
      </c>
      <c r="B5805" t="str">
        <f>T("   Instruments et appareils pour la mesure ou le contrôle de grandeurs électriques, sans dispositif enregistreur, n.d.a.")</f>
        <v xml:space="preserve">   Instruments et appareils pour la mesure ou le contrôle de grandeurs électriques, sans dispositif enregistreur, n.d.a.</v>
      </c>
      <c r="C5805">
        <v>3476744</v>
      </c>
      <c r="D5805">
        <v>821</v>
      </c>
    </row>
    <row r="5806" spans="1:4" x14ac:dyDescent="0.25">
      <c r="A5806" t="str">
        <f>T("   903149")</f>
        <v xml:space="preserve">   903149</v>
      </c>
      <c r="B5806" t="str">
        <f>T("   INSTRUMENTS, APPAREILS ET MACHINES DE MESURE OU DE CONTRÔLE, OPTIQUES, N.D.A. DANS LE CHAPITRE 90")</f>
        <v xml:space="preserve">   INSTRUMENTS, APPAREILS ET MACHINES DE MESURE OU DE CONTRÔLE, OPTIQUES, N.D.A. DANS LE CHAPITRE 90</v>
      </c>
      <c r="C5806">
        <v>30508</v>
      </c>
      <c r="D5806">
        <v>2</v>
      </c>
    </row>
    <row r="5807" spans="1:4" x14ac:dyDescent="0.25">
      <c r="A5807" t="str">
        <f>T("   903180")</f>
        <v xml:space="preserve">   903180</v>
      </c>
      <c r="B5807" t="str">
        <f>T("   INSTRUMENTS, APPAREILS ET MACHINES DE MESURE OU DE CONTRÔLE, NON-OPTIQUES, N.D.A. DANS LE PRÉSENT CHAPITRE")</f>
        <v xml:space="preserve">   INSTRUMENTS, APPAREILS ET MACHINES DE MESURE OU DE CONTRÔLE, NON-OPTIQUES, N.D.A. DANS LE PRÉSENT CHAPITRE</v>
      </c>
      <c r="C5807">
        <v>30262206</v>
      </c>
      <c r="D5807">
        <v>467.7</v>
      </c>
    </row>
    <row r="5808" spans="1:4" x14ac:dyDescent="0.25">
      <c r="A5808" t="str">
        <f>T("   903190")</f>
        <v xml:space="preserve">   903190</v>
      </c>
      <c r="B5808" t="str">
        <f>T("   Parties et accessoires des instruments, appareils et machines de mesure ou de contrôle, n.d.a.")</f>
        <v xml:space="preserve">   Parties et accessoires des instruments, appareils et machines de mesure ou de contrôle, n.d.a.</v>
      </c>
      <c r="C5808">
        <v>2190899</v>
      </c>
      <c r="D5808">
        <v>4002</v>
      </c>
    </row>
    <row r="5809" spans="1:4" x14ac:dyDescent="0.25">
      <c r="A5809" t="str">
        <f>T("   903210")</f>
        <v xml:space="preserve">   903210</v>
      </c>
      <c r="B5809" t="str">
        <f>T("   Thermostats pour la régulation ou le contrôle automatiques")</f>
        <v xml:space="preserve">   Thermostats pour la régulation ou le contrôle automatiques</v>
      </c>
      <c r="C5809">
        <v>2685913</v>
      </c>
      <c r="D5809">
        <v>88.5</v>
      </c>
    </row>
    <row r="5810" spans="1:4" x14ac:dyDescent="0.25">
      <c r="A5810" t="str">
        <f>T("   903220")</f>
        <v xml:space="preserve">   903220</v>
      </c>
      <c r="B5810" t="str">
        <f>T("   Manostats [pressostats] (sauf les articles de robinetterie du n° 8481)")</f>
        <v xml:space="preserve">   Manostats [pressostats] (sauf les articles de robinetterie du n° 8481)</v>
      </c>
      <c r="C5810">
        <v>6272624</v>
      </c>
      <c r="D5810">
        <v>72.5</v>
      </c>
    </row>
    <row r="5811" spans="1:4" x14ac:dyDescent="0.25">
      <c r="A5811" t="str">
        <f>T("   903281")</f>
        <v xml:space="preserve">   903281</v>
      </c>
      <c r="B5811" t="str">
        <f>T("   Instruments et appareils, hydrauliques et pneumatiques, pour la régulation ou le contrôle automatiques (à l'excl. des manostats [pressostats] et des articles de robinetterie du n° 8481)")</f>
        <v xml:space="preserve">   Instruments et appareils, hydrauliques et pneumatiques, pour la régulation ou le contrôle automatiques (à l'excl. des manostats [pressostats] et des articles de robinetterie du n° 8481)</v>
      </c>
      <c r="C5811">
        <v>22303</v>
      </c>
      <c r="D5811">
        <v>1</v>
      </c>
    </row>
    <row r="5812" spans="1:4" x14ac:dyDescent="0.25">
      <c r="A5812" t="str">
        <f>T("   903289")</f>
        <v xml:space="preserve">   903289</v>
      </c>
      <c r="B5812" t="s">
        <v>508</v>
      </c>
      <c r="C5812">
        <v>100059137</v>
      </c>
      <c r="D5812">
        <v>6831.5</v>
      </c>
    </row>
    <row r="5813" spans="1:4" x14ac:dyDescent="0.25">
      <c r="A5813" t="str">
        <f>T("   903300")</f>
        <v xml:space="preserve">   903300</v>
      </c>
      <c r="B5813" t="str">
        <f>T("   Parties et accessoires pour machines, appareils, instruments ou articles du chapitre 90, non dénommés ni compris dans le présent chapitre ou ailleurs")</f>
        <v xml:space="preserve">   Parties et accessoires pour machines, appareils, instruments ou articles du chapitre 90, non dénommés ni compris dans le présent chapitre ou ailleurs</v>
      </c>
      <c r="C5813">
        <v>1091790</v>
      </c>
      <c r="D5813">
        <v>35</v>
      </c>
    </row>
    <row r="5814" spans="1:4" x14ac:dyDescent="0.25">
      <c r="A5814" t="str">
        <f>T("   910199")</f>
        <v xml:space="preserve">   910199</v>
      </c>
      <c r="B5814" t="str">
        <f>T("   Montres de poche et simil., à remontage automatique ou manuel, y.c. les compteurs de temps du même type, avec boîte en métaux précieux ou en plaqués ou doublés de métaux précieux (sauf celles dont le fond est en acier et montres-bracelets)")</f>
        <v xml:space="preserve">   Montres de poche et simil., à remontage automatique ou manuel, y.c. les compteurs de temps du même type, avec boîte en métaux précieux ou en plaqués ou doublés de métaux précieux (sauf celles dont le fond est en acier et montres-bracelets)</v>
      </c>
      <c r="C5814">
        <v>470100</v>
      </c>
      <c r="D5814">
        <v>25</v>
      </c>
    </row>
    <row r="5815" spans="1:4" x14ac:dyDescent="0.25">
      <c r="A5815" t="str">
        <f>T("   910219")</f>
        <v xml:space="preserve">   910219</v>
      </c>
      <c r="B5815" t="str">
        <f>T("   Montres-bracelets, même incorporant un compteur de temps, fonctionnant électriquement, à affichage mécanique et optoélectronique (autres que celles en métaux précieux ou en plaqués ou doublés de métaux précieux)")</f>
        <v xml:space="preserve">   Montres-bracelets, même incorporant un compteur de temps, fonctionnant électriquement, à affichage mécanique et optoélectronique (autres que celles en métaux précieux ou en plaqués ou doublés de métaux précieux)</v>
      </c>
      <c r="C5815">
        <v>462452</v>
      </c>
      <c r="D5815">
        <v>39</v>
      </c>
    </row>
    <row r="5816" spans="1:4" x14ac:dyDescent="0.25">
      <c r="A5816" t="str">
        <f>T("   910229")</f>
        <v xml:space="preserve">   910229</v>
      </c>
      <c r="B5816" t="str">
        <f>T("   Montres-bracelets, même incorporant un compteur de temps, à remontage exclusivement manuel (autres que celles en métaux précieux ou en plaqués ou doublés de métaux précieux)")</f>
        <v xml:space="preserve">   Montres-bracelets, même incorporant un compteur de temps, à remontage exclusivement manuel (autres que celles en métaux précieux ou en plaqués ou doublés de métaux précieux)</v>
      </c>
      <c r="C5816">
        <v>1972490</v>
      </c>
      <c r="D5816">
        <v>1222</v>
      </c>
    </row>
    <row r="5817" spans="1:4" x14ac:dyDescent="0.25">
      <c r="A5817" t="str">
        <f>T("   910299")</f>
        <v xml:space="preserve">   910299</v>
      </c>
      <c r="B5817" t="str">
        <f>T("   Montres de poche et montres simil., à remontage manuel ou automatique, y.c. les compteurs de temps du même type (autres que celles en métaux précieux ou en plaqués ou doublés de métaux précieux)")</f>
        <v xml:space="preserve">   Montres de poche et montres simil., à remontage manuel ou automatique, y.c. les compteurs de temps du même type (autres que celles en métaux précieux ou en plaqués ou doublés de métaux précieux)</v>
      </c>
      <c r="C5817">
        <v>40014</v>
      </c>
      <c r="D5817">
        <v>7</v>
      </c>
    </row>
    <row r="5818" spans="1:4" x14ac:dyDescent="0.25">
      <c r="A5818" t="str">
        <f>T("   910390")</f>
        <v xml:space="preserve">   910390</v>
      </c>
      <c r="B5818" t="str">
        <f>T("   Réveils et pendulettes, à mouvement de montre, ne fonctionnant pas électriquement (autres que montres-bracelets, montres de poche et montres simil. du n° 9101 ou 9102 ainsi que montres de tableaux de bord et montres simil. du n° 9104)")</f>
        <v xml:space="preserve">   Réveils et pendulettes, à mouvement de montre, ne fonctionnant pas électriquement (autres que montres-bracelets, montres de poche et montres simil. du n° 9101 ou 9102 ainsi que montres de tableaux de bord et montres simil. du n° 9104)</v>
      </c>
      <c r="C5818">
        <v>32798</v>
      </c>
      <c r="D5818">
        <v>11</v>
      </c>
    </row>
    <row r="5819" spans="1:4" x14ac:dyDescent="0.25">
      <c r="A5819" t="str">
        <f>T("   910521")</f>
        <v xml:space="preserve">   910521</v>
      </c>
      <c r="B5819" t="str">
        <f>T("   PENDULES ET HORLOGES, MURALES, FONCTIONNANT ÉLECTRIQUEMENT [01/01/1988-31/12/1994: PENDULES ET HORLOGES MURALES, A PILE OU A ACCUMULATEUR OU FONCTIONNANT SUR SECTEUR]")</f>
        <v xml:space="preserve">   PENDULES ET HORLOGES, MURALES, FONCTIONNANT ÉLECTRIQUEMENT [01/01/1988-31/12/1994: PENDULES ET HORLOGES MURALES, A PILE OU A ACCUMULATEUR OU FONCTIONNANT SUR SECTEUR]</v>
      </c>
      <c r="C5819">
        <v>30174</v>
      </c>
      <c r="D5819">
        <v>6</v>
      </c>
    </row>
    <row r="5820" spans="1:4" x14ac:dyDescent="0.25">
      <c r="A5820" t="str">
        <f>T("   910529")</f>
        <v xml:space="preserve">   910529</v>
      </c>
      <c r="B5820" t="str">
        <f>T("   Pendules et horloges murales ne fonctionnant pas électriquement")</f>
        <v xml:space="preserve">   Pendules et horloges murales ne fonctionnant pas électriquement</v>
      </c>
      <c r="C5820">
        <v>496105</v>
      </c>
      <c r="D5820">
        <v>450</v>
      </c>
    </row>
    <row r="5821" spans="1:4" x14ac:dyDescent="0.25">
      <c r="A5821" t="str">
        <f>T("   910599")</f>
        <v xml:space="preserve">   910599</v>
      </c>
      <c r="B5821" t="s">
        <v>509</v>
      </c>
      <c r="C5821">
        <v>11151</v>
      </c>
      <c r="D5821">
        <v>2</v>
      </c>
    </row>
    <row r="5822" spans="1:4" x14ac:dyDescent="0.25">
      <c r="A5822" t="str">
        <f>T("   910610")</f>
        <v xml:space="preserve">   910610</v>
      </c>
      <c r="B5822" t="str">
        <f>T("   HORLOGES DE POINTAGE; HORODATEURS ET HOROCOMPTEURS [01/01/1988-31/12/1994: HORLOGES DE POINTAGE; HORODATEURS ET HOROCOMPTEURS]")</f>
        <v xml:space="preserve">   HORLOGES DE POINTAGE; HORODATEURS ET HOROCOMPTEURS [01/01/1988-31/12/1994: HORLOGES DE POINTAGE; HORODATEURS ET HOROCOMPTEURS]</v>
      </c>
      <c r="C5822">
        <v>10495</v>
      </c>
      <c r="D5822">
        <v>2</v>
      </c>
    </row>
    <row r="5823" spans="1:4" x14ac:dyDescent="0.25">
      <c r="A5823" t="str">
        <f>T("   910690")</f>
        <v xml:space="preserve">   910690</v>
      </c>
      <c r="B5823" t="str">
        <f>T("   APPAREILS DE CONTRÔLE DE TEMPS, À MOUVEMENT D'HORLOGERIE OU À MOTEUR SYNCHRONE (AUTRES QU'APPAREILS D'HORLOGERIE DU N° 9101 À 9105, HORLOGES DE POINTAGE, HORODATEURS ET HOROCOMPTEURS)")</f>
        <v xml:space="preserve">   APPAREILS DE CONTRÔLE DE TEMPS, À MOUVEMENT D'HORLOGERIE OU À MOTEUR SYNCHRONE (AUTRES QU'APPAREILS D'HORLOGERIE DU N° 9101 À 9105, HORLOGES DE POINTAGE, HORODATEURS ET HOROCOMPTEURS)</v>
      </c>
      <c r="C5823">
        <v>1057000</v>
      </c>
      <c r="D5823">
        <v>450</v>
      </c>
    </row>
    <row r="5824" spans="1:4" x14ac:dyDescent="0.25">
      <c r="A5824" t="str">
        <f>T("   910700")</f>
        <v xml:space="preserve">   910700</v>
      </c>
      <c r="B5824" t="str">
        <f>T("   Interrupteurs horaires et autres appareils permettant de déclencher un mécanisme à temps donné, munis d'un mouvement d'horlogerie ou d'un moteur synchrone")</f>
        <v xml:space="preserve">   Interrupteurs horaires et autres appareils permettant de déclencher un mécanisme à temps donné, munis d'un mouvement d'horlogerie ou d'un moteur synchrone</v>
      </c>
      <c r="C5824">
        <v>846844</v>
      </c>
      <c r="D5824">
        <v>72</v>
      </c>
    </row>
    <row r="5825" spans="1:4" x14ac:dyDescent="0.25">
      <c r="A5825" t="str">
        <f>T("   911090")</f>
        <v xml:space="preserve">   911090</v>
      </c>
      <c r="B5825" t="str">
        <f>T("   Mouvements d'horlogerie complets non assemblés ou partiellement assemblés [chablons$ ou incomplets et assemblés (autres qu'ébauches de mouvements d'horlogerie et mouvements de montres)")</f>
        <v xml:space="preserve">   Mouvements d'horlogerie complets non assemblés ou partiellement assemblés [chablons$ ou incomplets et assemblés (autres qu'ébauches de mouvements d'horlogerie et mouvements de montres)</v>
      </c>
      <c r="C5825">
        <v>106266</v>
      </c>
      <c r="D5825">
        <v>0.5</v>
      </c>
    </row>
    <row r="5826" spans="1:4" x14ac:dyDescent="0.25">
      <c r="A5826" t="str">
        <f>T("   911390")</f>
        <v xml:space="preserve">   911390</v>
      </c>
      <c r="B5826" t="str">
        <f>T("   Bracelets de montres et leurs parties, n.d.a.")</f>
        <v xml:space="preserve">   Bracelets de montres et leurs parties, n.d.a.</v>
      </c>
      <c r="C5826">
        <v>17777</v>
      </c>
      <c r="D5826">
        <v>40</v>
      </c>
    </row>
    <row r="5827" spans="1:4" x14ac:dyDescent="0.25">
      <c r="A5827" t="str">
        <f>T("   911490")</f>
        <v xml:space="preserve">   911490</v>
      </c>
      <c r="B5827" t="str">
        <f>T("   Fournitures d'horlogerie, n.d.a.")</f>
        <v xml:space="preserve">   Fournitures d'horlogerie, n.d.a.</v>
      </c>
      <c r="C5827">
        <v>575277</v>
      </c>
      <c r="D5827">
        <v>40</v>
      </c>
    </row>
    <row r="5828" spans="1:4" x14ac:dyDescent="0.25">
      <c r="A5828" t="str">
        <f>T("   920190")</f>
        <v xml:space="preserve">   920190</v>
      </c>
      <c r="B5828" t="str">
        <f>T("   Clavecins et autres instruments à cordes à clavier (autres que pianos)")</f>
        <v xml:space="preserve">   Clavecins et autres instruments à cordes à clavier (autres que pianos)</v>
      </c>
      <c r="C5828">
        <v>240003</v>
      </c>
      <c r="D5828">
        <v>200</v>
      </c>
    </row>
    <row r="5829" spans="1:4" x14ac:dyDescent="0.25">
      <c r="A5829" t="str">
        <f>T("   920590")</f>
        <v xml:space="preserve">   920590</v>
      </c>
      <c r="B5829" t="s">
        <v>510</v>
      </c>
      <c r="C5829">
        <v>166614</v>
      </c>
      <c r="D5829">
        <v>36</v>
      </c>
    </row>
    <row r="5830" spans="1:4" x14ac:dyDescent="0.25">
      <c r="A5830" t="str">
        <f>T("   920790")</f>
        <v xml:space="preserve">   920790</v>
      </c>
      <c r="B5830" t="str">
        <f>T("   Accordéons électriques et autres instruments de musique électriques")</f>
        <v xml:space="preserve">   Accordéons électriques et autres instruments de musique électriques</v>
      </c>
      <c r="C5830">
        <v>300000</v>
      </c>
      <c r="D5830">
        <v>615</v>
      </c>
    </row>
    <row r="5831" spans="1:4" x14ac:dyDescent="0.25">
      <c r="A5831" t="str">
        <f>T("   930200")</f>
        <v xml:space="preserve">   930200</v>
      </c>
      <c r="B5831" t="str">
        <f>T("   Revolvers et pistolets (autres que ceux du n° 9303 ou 9304 et pistolets-mitrailleurs de guerre)")</f>
        <v xml:space="preserve">   Revolvers et pistolets (autres que ceux du n° 9303 ou 9304 et pistolets-mitrailleurs de guerre)</v>
      </c>
      <c r="C5831">
        <v>162979</v>
      </c>
      <c r="D5831">
        <v>2</v>
      </c>
    </row>
    <row r="5832" spans="1:4" x14ac:dyDescent="0.25">
      <c r="A5832" t="str">
        <f>T("   930390")</f>
        <v xml:space="preserve">   930390</v>
      </c>
      <c r="B5832" t="str">
        <f>T("   Armes à feu et engins simil. utilisant la déflagration de la poudre (autres que fusils et carabines de chasse ou de tir sportif, revolvers et pistolets du n° 9302 ainsi qu'armes de guerre)")</f>
        <v xml:space="preserve">   Armes à feu et engins simil. utilisant la déflagration de la poudre (autres que fusils et carabines de chasse ou de tir sportif, revolvers et pistolets du n° 9302 ainsi qu'armes de guerre)</v>
      </c>
      <c r="C5832">
        <v>270000</v>
      </c>
      <c r="D5832">
        <v>26</v>
      </c>
    </row>
    <row r="5833" spans="1:4" x14ac:dyDescent="0.25">
      <c r="A5833" t="str">
        <f>T("   930700")</f>
        <v xml:space="preserve">   930700</v>
      </c>
      <c r="B5833" t="s">
        <v>513</v>
      </c>
      <c r="C5833">
        <v>306000</v>
      </c>
      <c r="D5833">
        <v>215</v>
      </c>
    </row>
    <row r="5834" spans="1:4" x14ac:dyDescent="0.25">
      <c r="A5834" t="str">
        <f>T("   940120")</f>
        <v xml:space="preserve">   940120</v>
      </c>
      <c r="B5834" t="str">
        <f>T("   Sièges pour véhicules automobiles")</f>
        <v xml:space="preserve">   Sièges pour véhicules automobiles</v>
      </c>
      <c r="C5834">
        <v>75000</v>
      </c>
      <c r="D5834">
        <v>23</v>
      </c>
    </row>
    <row r="5835" spans="1:4" x14ac:dyDescent="0.25">
      <c r="A5835" t="str">
        <f>T("   940130")</f>
        <v xml:space="preserve">   940130</v>
      </c>
      <c r="B5835" t="str">
        <f>T("   Sièges pivotants, ajustables en hauteur (à l'excl. de ceux pour la médecine, la chirurgie, l'art dentaire ou vétérinaire, ainsi que des fauteuils pour salons de coiffure)")</f>
        <v xml:space="preserve">   Sièges pivotants, ajustables en hauteur (à l'excl. de ceux pour la médecine, la chirurgie, l'art dentaire ou vétérinaire, ainsi que des fauteuils pour salons de coiffure)</v>
      </c>
      <c r="C5835">
        <v>4103626</v>
      </c>
      <c r="D5835">
        <v>742</v>
      </c>
    </row>
    <row r="5836" spans="1:4" x14ac:dyDescent="0.25">
      <c r="A5836" t="str">
        <f>T("   940161")</f>
        <v xml:space="preserve">   940161</v>
      </c>
      <c r="B5836" t="str">
        <f>T("   Sièges, avec bâti en bois, rembourrés (non transformables en lits)")</f>
        <v xml:space="preserve">   Sièges, avec bâti en bois, rembourrés (non transformables en lits)</v>
      </c>
      <c r="C5836">
        <v>4661825</v>
      </c>
      <c r="D5836">
        <v>2228</v>
      </c>
    </row>
    <row r="5837" spans="1:4" x14ac:dyDescent="0.25">
      <c r="A5837" t="str">
        <f>T("   940169")</f>
        <v xml:space="preserve">   940169</v>
      </c>
      <c r="B5837" t="str">
        <f>T("   Sièges, avec bâti en bois, non rembourrés")</f>
        <v xml:space="preserve">   Sièges, avec bâti en bois, non rembourrés</v>
      </c>
      <c r="C5837">
        <v>2950566</v>
      </c>
      <c r="D5837">
        <v>6422</v>
      </c>
    </row>
    <row r="5838" spans="1:4" x14ac:dyDescent="0.25">
      <c r="A5838" t="str">
        <f>T("   940171")</f>
        <v xml:space="preserve">   940171</v>
      </c>
      <c r="B5838" t="str">
        <f>T("   Sièges, avec bâti en métal, rembourrés (autres que pour véhicules aériens ou automobiles, autres que fauteuils pivotants ajustables en hauteur et autres que pour la médecine, l'art dentaire ou la chirurgie)")</f>
        <v xml:space="preserve">   Sièges, avec bâti en métal, rembourrés (autres que pour véhicules aériens ou automobiles, autres que fauteuils pivotants ajustables en hauteur et autres que pour la médecine, l'art dentaire ou la chirurgie)</v>
      </c>
      <c r="C5838">
        <v>1443113</v>
      </c>
      <c r="D5838">
        <v>800</v>
      </c>
    </row>
    <row r="5839" spans="1:4" x14ac:dyDescent="0.25">
      <c r="A5839" t="str">
        <f>T("   940179")</f>
        <v xml:space="preserve">   940179</v>
      </c>
      <c r="B5839" t="str">
        <f>T("   Sièges, avec bâti en métal non rembourrés (autres que fauteuils pivotants ajustables en hauteur et autres que pour la médecine, l'art dentaire ou la chirurgie)")</f>
        <v xml:space="preserve">   Sièges, avec bâti en métal non rembourrés (autres que fauteuils pivotants ajustables en hauteur et autres que pour la médecine, l'art dentaire ou la chirurgie)</v>
      </c>
      <c r="C5839">
        <v>1263525</v>
      </c>
      <c r="D5839">
        <v>2150</v>
      </c>
    </row>
    <row r="5840" spans="1:4" x14ac:dyDescent="0.25">
      <c r="A5840" t="str">
        <f>T("   940180")</f>
        <v xml:space="preserve">   940180</v>
      </c>
      <c r="B5840" t="str">
        <f>T("   Sièges, n.d.a.")</f>
        <v xml:space="preserve">   Sièges, n.d.a.</v>
      </c>
      <c r="C5840">
        <v>180405623</v>
      </c>
      <c r="D5840">
        <v>67144</v>
      </c>
    </row>
    <row r="5841" spans="1:4" x14ac:dyDescent="0.25">
      <c r="A5841" t="str">
        <f>T("   940190")</f>
        <v xml:space="preserve">   940190</v>
      </c>
      <c r="B5841" t="str">
        <f>T("   Parties de sièges, n.d.a.")</f>
        <v xml:space="preserve">   Parties de sièges, n.d.a.</v>
      </c>
      <c r="C5841">
        <v>11371045</v>
      </c>
      <c r="D5841">
        <v>6423</v>
      </c>
    </row>
    <row r="5842" spans="1:4" x14ac:dyDescent="0.25">
      <c r="A5842" t="str">
        <f>T("   940210")</f>
        <v xml:space="preserve">   940210</v>
      </c>
      <c r="B5842" t="str">
        <f>T("   Fauteuils de dentistes, fauteuils pour salons de coiffure et fauteuils simil., avec dispositif à la fois d'orientation et d'élévation, et leurs parties, n.d.a.")</f>
        <v xml:space="preserve">   Fauteuils de dentistes, fauteuils pour salons de coiffure et fauteuils simil., avec dispositif à la fois d'orientation et d'élévation, et leurs parties, n.d.a.</v>
      </c>
      <c r="C5842">
        <v>7349762</v>
      </c>
      <c r="D5842">
        <v>3842</v>
      </c>
    </row>
    <row r="5843" spans="1:4" x14ac:dyDescent="0.25">
      <c r="A5843" t="str">
        <f>T("   940290")</f>
        <v xml:space="preserve">   940290</v>
      </c>
      <c r="B5843" t="str">
        <f>T("   Tables d'opération, tables d'examen et autre mobilier pour la médecine, la chirurgie, l'art dentaire ou vétérinaire (sauf fauteuils de dentistes et autres sièges, tables d'examen radiographique, civières et brancards, y.c. chariots-brancards)")</f>
        <v xml:space="preserve">   Tables d'opération, tables d'examen et autre mobilier pour la médecine, la chirurgie, l'art dentaire ou vétérinaire (sauf fauteuils de dentistes et autres sièges, tables d'examen radiographique, civières et brancards, y.c. chariots-brancards)</v>
      </c>
      <c r="C5843">
        <v>112332220</v>
      </c>
      <c r="D5843">
        <v>45864</v>
      </c>
    </row>
    <row r="5844" spans="1:4" x14ac:dyDescent="0.25">
      <c r="A5844" t="str">
        <f>T("   940310")</f>
        <v xml:space="preserve">   940310</v>
      </c>
      <c r="B5844" t="str">
        <f>T("   Meubles de bureau en métal (sauf sièges)")</f>
        <v xml:space="preserve">   Meubles de bureau en métal (sauf sièges)</v>
      </c>
      <c r="C5844">
        <v>94374853</v>
      </c>
      <c r="D5844">
        <v>60985</v>
      </c>
    </row>
    <row r="5845" spans="1:4" x14ac:dyDescent="0.25">
      <c r="A5845" t="str">
        <f>T("   940320")</f>
        <v xml:space="preserve">   940320</v>
      </c>
      <c r="B5845"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5845">
        <v>53503108</v>
      </c>
      <c r="D5845">
        <v>11085</v>
      </c>
    </row>
    <row r="5846" spans="1:4" x14ac:dyDescent="0.25">
      <c r="A5846" t="str">
        <f>T("   940330")</f>
        <v xml:space="preserve">   940330</v>
      </c>
      <c r="B5846" t="str">
        <f>T("   Meubles de bureau en bois (sauf sièges)")</f>
        <v xml:space="preserve">   Meubles de bureau en bois (sauf sièges)</v>
      </c>
      <c r="C5846">
        <v>139258218</v>
      </c>
      <c r="D5846">
        <v>172638</v>
      </c>
    </row>
    <row r="5847" spans="1:4" x14ac:dyDescent="0.25">
      <c r="A5847" t="str">
        <f>T("   940340")</f>
        <v xml:space="preserve">   940340</v>
      </c>
      <c r="B5847" t="str">
        <f>T("   Meubles de cuisine, en bois (sauf sièges)")</f>
        <v xml:space="preserve">   Meubles de cuisine, en bois (sauf sièges)</v>
      </c>
      <c r="C5847">
        <v>182000</v>
      </c>
      <c r="D5847">
        <v>240</v>
      </c>
    </row>
    <row r="5848" spans="1:4" x14ac:dyDescent="0.25">
      <c r="A5848" t="str">
        <f>T("   940350")</f>
        <v xml:space="preserve">   940350</v>
      </c>
      <c r="B5848" t="str">
        <f>T("   Meubles pour chambres à coucher, en bois (sauf sièges)")</f>
        <v xml:space="preserve">   Meubles pour chambres à coucher, en bois (sauf sièges)</v>
      </c>
      <c r="C5848">
        <v>62003967</v>
      </c>
      <c r="D5848">
        <v>50482</v>
      </c>
    </row>
    <row r="5849" spans="1:4" x14ac:dyDescent="0.25">
      <c r="A5849" t="str">
        <f>T("   940360")</f>
        <v xml:space="preserve">   940360</v>
      </c>
      <c r="B5849" t="str">
        <f>T("   Meubles en bois (autres que pour bureaux, cuisines ou chambres à coucher et autres que sièges)")</f>
        <v xml:space="preserve">   Meubles en bois (autres que pour bureaux, cuisines ou chambres à coucher et autres que sièges)</v>
      </c>
      <c r="C5849">
        <v>140996496</v>
      </c>
      <c r="D5849">
        <v>112377.13</v>
      </c>
    </row>
    <row r="5850" spans="1:4" x14ac:dyDescent="0.25">
      <c r="A5850" t="str">
        <f>T("   940370")</f>
        <v xml:space="preserve">   940370</v>
      </c>
      <c r="B5850" t="str">
        <f>T("   Meubles en matières plastiques (autres que pour la médecine, l'art dentaire et vétérinaire, la chirurgie et autres que sièges)")</f>
        <v xml:space="preserve">   Meubles en matières plastiques (autres que pour la médecine, l'art dentaire et vétérinaire, la chirurgie et autres que sièges)</v>
      </c>
      <c r="C5850">
        <v>5507224</v>
      </c>
      <c r="D5850">
        <v>5382</v>
      </c>
    </row>
    <row r="5851" spans="1:4" x14ac:dyDescent="0.25">
      <c r="A5851" t="str">
        <f>T("   940380")</f>
        <v xml:space="preserve">   940380</v>
      </c>
      <c r="B5851" t="str">
        <f>T("   Meubles en rotin, osier, bambou ou autres matières (sauf métal, bois et matières plastiques)")</f>
        <v xml:space="preserve">   Meubles en rotin, osier, bambou ou autres matières (sauf métal, bois et matières plastiques)</v>
      </c>
      <c r="C5851">
        <v>161771167</v>
      </c>
      <c r="D5851">
        <v>202036</v>
      </c>
    </row>
    <row r="5852" spans="1:4" x14ac:dyDescent="0.25">
      <c r="A5852" t="str">
        <f>T("   940390")</f>
        <v xml:space="preserve">   940390</v>
      </c>
      <c r="B5852" t="str">
        <f>T("   PARTIES DE MEUBLES, N.D.A. (AUTRES QUE DE SIÈGES ET MOBILIER POUR LA MÉDECINE, L'ART DENTAIRE ET VÉTÉRINAIRE OU LA CHIRURGIE)")</f>
        <v xml:space="preserve">   PARTIES DE MEUBLES, N.D.A. (AUTRES QUE DE SIÈGES ET MOBILIER POUR LA MÉDECINE, L'ART DENTAIRE ET VÉTÉRINAIRE OU LA CHIRURGIE)</v>
      </c>
      <c r="C5852">
        <v>23337160</v>
      </c>
      <c r="D5852">
        <v>9351</v>
      </c>
    </row>
    <row r="5853" spans="1:4" x14ac:dyDescent="0.25">
      <c r="A5853" t="str">
        <f>T("   940410")</f>
        <v xml:space="preserve">   940410</v>
      </c>
      <c r="B5853" t="str">
        <f>T("   Sommiers (sauf ressorts pour sièges)")</f>
        <v xml:space="preserve">   Sommiers (sauf ressorts pour sièges)</v>
      </c>
      <c r="C5853">
        <v>274847</v>
      </c>
      <c r="D5853">
        <v>112</v>
      </c>
    </row>
    <row r="5854" spans="1:4" x14ac:dyDescent="0.25">
      <c r="A5854" t="str">
        <f>T("   940429")</f>
        <v xml:space="preserve">   940429</v>
      </c>
      <c r="B5854" t="str">
        <f>T("   Matelas à ressorts ou rembourrés, ou garnis intérieurement de matières autres que le caoutchouc alvéolaire ou les matières plastiques alvéolaires (sauf matelas à eau, matelas pneumatiques et oreillers)")</f>
        <v xml:space="preserve">   Matelas à ressorts ou rembourrés, ou garnis intérieurement de matières autres que le caoutchouc alvéolaire ou les matières plastiques alvéolaires (sauf matelas à eau, matelas pneumatiques et oreillers)</v>
      </c>
      <c r="C5854">
        <v>36607176</v>
      </c>
      <c r="D5854">
        <v>587749</v>
      </c>
    </row>
    <row r="5855" spans="1:4" x14ac:dyDescent="0.25">
      <c r="A5855" t="str">
        <f>T("   940490")</f>
        <v xml:space="preserve">   940490</v>
      </c>
      <c r="B5855" t="s">
        <v>514</v>
      </c>
      <c r="C5855">
        <v>63133923</v>
      </c>
      <c r="D5855">
        <v>38988</v>
      </c>
    </row>
    <row r="5856" spans="1:4" x14ac:dyDescent="0.25">
      <c r="A5856" t="str">
        <f>T("   940510")</f>
        <v xml:space="preserve">   940510</v>
      </c>
      <c r="B5856" t="str">
        <f>T("   Lustres et autres appareils d'éclairage électrique à suspendre ou à fixer au plafond ou au mur (sauf pour l'éclairage des espaces et voies publiques)")</f>
        <v xml:space="preserve">   Lustres et autres appareils d'éclairage électrique à suspendre ou à fixer au plafond ou au mur (sauf pour l'éclairage des espaces et voies publiques)</v>
      </c>
      <c r="C5856">
        <v>50515342</v>
      </c>
      <c r="D5856">
        <v>8411</v>
      </c>
    </row>
    <row r="5857" spans="1:4" x14ac:dyDescent="0.25">
      <c r="A5857" t="str">
        <f>T("   940520")</f>
        <v xml:space="preserve">   940520</v>
      </c>
      <c r="B5857" t="str">
        <f>T("   Lampes de chevet, lampes de bureau et lampadaires d'intérieur, électriques")</f>
        <v xml:space="preserve">   Lampes de chevet, lampes de bureau et lampadaires d'intérieur, électriques</v>
      </c>
      <c r="C5857">
        <v>24103105</v>
      </c>
      <c r="D5857">
        <v>7369</v>
      </c>
    </row>
    <row r="5858" spans="1:4" x14ac:dyDescent="0.25">
      <c r="A5858" t="str">
        <f>T("   940530")</f>
        <v xml:space="preserve">   940530</v>
      </c>
      <c r="B5858" t="str">
        <f>T("   GUIRLANDES ÉLECTRIQUES POUR ARBRES DE NOÙL")</f>
        <v xml:space="preserve">   GUIRLANDES ÉLECTRIQUES POUR ARBRES DE NOÙL</v>
      </c>
      <c r="C5858">
        <v>3180188</v>
      </c>
      <c r="D5858">
        <v>312</v>
      </c>
    </row>
    <row r="5859" spans="1:4" x14ac:dyDescent="0.25">
      <c r="A5859" t="str">
        <f>T("   940540")</f>
        <v xml:space="preserve">   940540</v>
      </c>
      <c r="B5859" t="str">
        <f>T("   Appareils d'éclairage électrique, n.d.a.")</f>
        <v xml:space="preserve">   Appareils d'éclairage électrique, n.d.a.</v>
      </c>
      <c r="C5859">
        <v>157448565</v>
      </c>
      <c r="D5859">
        <v>28616.99</v>
      </c>
    </row>
    <row r="5860" spans="1:4" x14ac:dyDescent="0.25">
      <c r="A5860" t="str">
        <f>T("   940550")</f>
        <v xml:space="preserve">   940550</v>
      </c>
      <c r="B5860" t="str">
        <f>T("   Appareils d'éclairage non-électriques, n.d.a.")</f>
        <v xml:space="preserve">   Appareils d'éclairage non-électriques, n.d.a.</v>
      </c>
      <c r="C5860">
        <v>20761790</v>
      </c>
      <c r="D5860">
        <v>12451</v>
      </c>
    </row>
    <row r="5861" spans="1:4" x14ac:dyDescent="0.25">
      <c r="A5861" t="str">
        <f>T("   940560")</f>
        <v xml:space="preserve">   940560</v>
      </c>
      <c r="B5861" t="str">
        <f>T("   Lampes-réclames, enseignes lumineuses, plaques indicatrices lumineuses et articles simil., possédant une source d'éclairage fixée à demeure")</f>
        <v xml:space="preserve">   Lampes-réclames, enseignes lumineuses, plaques indicatrices lumineuses et articles simil., possédant une source d'éclairage fixée à demeure</v>
      </c>
      <c r="C5861">
        <v>24968024</v>
      </c>
      <c r="D5861">
        <v>2498</v>
      </c>
    </row>
    <row r="5862" spans="1:4" x14ac:dyDescent="0.25">
      <c r="A5862" t="str">
        <f>T("   940591")</f>
        <v xml:space="preserve">   940591</v>
      </c>
      <c r="B5862" t="str">
        <f>T("   Parties en verres d'appareils d'éclairage, de lampes-réclames, d'enseignes lumineuses, de plaques indicatrices lumineuses, et simil., n.d.a.")</f>
        <v xml:space="preserve">   Parties en verres d'appareils d'éclairage, de lampes-réclames, d'enseignes lumineuses, de plaques indicatrices lumineuses, et simil., n.d.a.</v>
      </c>
      <c r="C5862">
        <v>52249412</v>
      </c>
      <c r="D5862">
        <v>22806</v>
      </c>
    </row>
    <row r="5863" spans="1:4" x14ac:dyDescent="0.25">
      <c r="A5863" t="str">
        <f>T("   940599")</f>
        <v xml:space="preserve">   940599</v>
      </c>
      <c r="B5863" t="str">
        <f>T("   Parties d'appareils d'éclairage, de lampes-réclames, d'enseignes lumineuses, de plaques indicatrices lumineuses, et simil., n.d.a.")</f>
        <v xml:space="preserve">   Parties d'appareils d'éclairage, de lampes-réclames, d'enseignes lumineuses, de plaques indicatrices lumineuses, et simil., n.d.a.</v>
      </c>
      <c r="C5863">
        <v>13374045</v>
      </c>
      <c r="D5863">
        <v>581</v>
      </c>
    </row>
    <row r="5864" spans="1:4" x14ac:dyDescent="0.25">
      <c r="A5864" t="str">
        <f>T("   940600")</f>
        <v xml:space="preserve">   940600</v>
      </c>
      <c r="B5864" t="str">
        <f>T("   Constructions préfabriquées, même incomplètes ou non encore montées")</f>
        <v xml:space="preserve">   Constructions préfabriquées, même incomplètes ou non encore montées</v>
      </c>
      <c r="C5864">
        <v>4578515</v>
      </c>
      <c r="D5864">
        <v>4962</v>
      </c>
    </row>
    <row r="5865" spans="1:4" x14ac:dyDescent="0.25">
      <c r="A5865" t="str">
        <f>T("   950100")</f>
        <v xml:space="preserve">   950100</v>
      </c>
      <c r="B5865" t="str">
        <f>T("   JOUETS À ROUES CONÇUS POUR ÊTRE MONTÉS PAR LES ENFANTS, P.EX. TRICYCLES, TROTTINETTES, AUTOS À PÉDALES (À L'EXCL. DES CYCLES HABITUELS AVEC ROULEMENT À BILLES); LANDAUS ET POUSSETTES POUR POUPÉES")</f>
        <v xml:space="preserve">   JOUETS À ROUES CONÇUS POUR ÊTRE MONTÉS PAR LES ENFANTS, P.EX. TRICYCLES, TROTTINETTES, AUTOS À PÉDALES (À L'EXCL. DES CYCLES HABITUELS AVEC ROULEMENT À BILLES); LANDAUS ET POUSSETTES POUR POUPÉES</v>
      </c>
      <c r="C5865">
        <v>871115</v>
      </c>
      <c r="D5865">
        <v>95</v>
      </c>
    </row>
    <row r="5866" spans="1:4" x14ac:dyDescent="0.25">
      <c r="A5866" t="str">
        <f>T("   950210")</f>
        <v xml:space="preserve">   950210</v>
      </c>
      <c r="B5866" t="str">
        <f>T("   Poupées représentant uniquement l'être humain, habillées ou non")</f>
        <v xml:space="preserve">   Poupées représentant uniquement l'être humain, habillées ou non</v>
      </c>
      <c r="C5866">
        <v>6149625</v>
      </c>
      <c r="D5866">
        <v>801</v>
      </c>
    </row>
    <row r="5867" spans="1:4" x14ac:dyDescent="0.25">
      <c r="A5867" t="str">
        <f>T("   950299")</f>
        <v xml:space="preserve">   950299</v>
      </c>
      <c r="B5867" t="str">
        <f>T("   Parties et accessoires pour poupées représentant uniquement l'être humain, n.d.a.")</f>
        <v xml:space="preserve">   Parties et accessoires pour poupées représentant uniquement l'être humain, n.d.a.</v>
      </c>
      <c r="C5867">
        <v>393577</v>
      </c>
      <c r="D5867">
        <v>295</v>
      </c>
    </row>
    <row r="5868" spans="1:4" x14ac:dyDescent="0.25">
      <c r="A5868" t="str">
        <f>T("   950320")</f>
        <v xml:space="preserve">   950320</v>
      </c>
      <c r="B5868" t="str">
        <f>T("   Modèles réduits, animés ou non, à assembler (sauf trains électriques, y.c. les rails, signaux et autres accessoires)")</f>
        <v xml:space="preserve">   Modèles réduits, animés ou non, à assembler (sauf trains électriques, y.c. les rails, signaux et autres accessoires)</v>
      </c>
      <c r="C5868">
        <v>454580</v>
      </c>
      <c r="D5868">
        <v>41</v>
      </c>
    </row>
    <row r="5869" spans="1:4" x14ac:dyDescent="0.25">
      <c r="A5869" t="str">
        <f>T("   950330")</f>
        <v xml:space="preserve">   950330</v>
      </c>
      <c r="B5869" t="str">
        <f>T("   Assortiments et jouets de construction (sauf modèles réduits à assembler)")</f>
        <v xml:space="preserve">   Assortiments et jouets de construction (sauf modèles réduits à assembler)</v>
      </c>
      <c r="C5869">
        <v>859964</v>
      </c>
      <c r="D5869">
        <v>141</v>
      </c>
    </row>
    <row r="5870" spans="1:4" x14ac:dyDescent="0.25">
      <c r="A5870" t="str">
        <f>T("   950349")</f>
        <v xml:space="preserve">   950349</v>
      </c>
      <c r="B5870" t="str">
        <f>T("   JOUETS REPRÉSENTANT DES ANIMAUX OU DES CRÉATURES NON-HUMAINES, NON-REMBOURRÉS")</f>
        <v xml:space="preserve">   JOUETS REPRÉSENTANT DES ANIMAUX OU DES CRÉATURES NON-HUMAINES, NON-REMBOURRÉS</v>
      </c>
      <c r="C5870">
        <v>3468716</v>
      </c>
      <c r="D5870">
        <v>2214</v>
      </c>
    </row>
    <row r="5871" spans="1:4" x14ac:dyDescent="0.25">
      <c r="A5871" t="str">
        <f>T("   950370")</f>
        <v xml:space="preserve">   950370</v>
      </c>
      <c r="B5871" t="str">
        <f>T("   Jouets présentés en assortiments ou en panoplies (sauf trains électriques, y.c. accessoires, sauf modèles réduits à assembler, cubes et jeux de construction et puzzles)")</f>
        <v xml:space="preserve">   Jouets présentés en assortiments ou en panoplies (sauf trains électriques, y.c. accessoires, sauf modèles réduits à assembler, cubes et jeux de construction et puzzles)</v>
      </c>
      <c r="C5871">
        <v>25903204</v>
      </c>
      <c r="D5871">
        <v>4154</v>
      </c>
    </row>
    <row r="5872" spans="1:4" x14ac:dyDescent="0.25">
      <c r="A5872" t="str">
        <f>T("   950380")</f>
        <v xml:space="preserve">   950380</v>
      </c>
      <c r="B5872" t="str">
        <f>T("   JOUETS ET MODÈLES, À MOTEUR (SAUF TRAINS ÉLECTRIQUES, Y.C. LES ACCESSOIRES, SAUF MODÈLES RÉDUITS À ASSEMBLER, JOUETS REPRÉSENTANT DES ANIMAUX OU DES CRÉATURES NON-HUMAINES)")</f>
        <v xml:space="preserve">   JOUETS ET MODÈLES, À MOTEUR (SAUF TRAINS ÉLECTRIQUES, Y.C. LES ACCESSOIRES, SAUF MODÈLES RÉDUITS À ASSEMBLER, JOUETS REPRÉSENTANT DES ANIMAUX OU DES CRÉATURES NON-HUMAINES)</v>
      </c>
      <c r="C5872">
        <v>3600564</v>
      </c>
      <c r="D5872">
        <v>737</v>
      </c>
    </row>
    <row r="5873" spans="1:4" x14ac:dyDescent="0.25">
      <c r="A5873" t="str">
        <f>T("   950390")</f>
        <v xml:space="preserve">   950390</v>
      </c>
      <c r="B5873" t="str">
        <f>T("   Jouets, n.d.a.")</f>
        <v xml:space="preserve">   Jouets, n.d.a.</v>
      </c>
      <c r="C5873">
        <v>77312488</v>
      </c>
      <c r="D5873">
        <v>18458</v>
      </c>
    </row>
    <row r="5874" spans="1:4" x14ac:dyDescent="0.25">
      <c r="A5874" t="str">
        <f>T("   950410")</f>
        <v xml:space="preserve">   950410</v>
      </c>
      <c r="B5874" t="str">
        <f>T("   Jeux vidéo des types utilisables avec un récepteur de télévision")</f>
        <v xml:space="preserve">   Jeux vidéo des types utilisables avec un récepteur de télévision</v>
      </c>
      <c r="C5874">
        <v>13955742</v>
      </c>
      <c r="D5874">
        <v>2826</v>
      </c>
    </row>
    <row r="5875" spans="1:4" x14ac:dyDescent="0.25">
      <c r="A5875" t="str">
        <f>T("   950440")</f>
        <v xml:space="preserve">   950440</v>
      </c>
      <c r="B5875" t="str">
        <f>T("   Cartes à jouer")</f>
        <v xml:space="preserve">   Cartes à jouer</v>
      </c>
      <c r="C5875">
        <v>21647</v>
      </c>
      <c r="D5875">
        <v>5</v>
      </c>
    </row>
    <row r="5876" spans="1:4" x14ac:dyDescent="0.25">
      <c r="A5876" t="str">
        <f>T("   950490")</f>
        <v xml:space="preserve">   950490</v>
      </c>
      <c r="B5876" t="s">
        <v>516</v>
      </c>
      <c r="C5876">
        <v>57586911</v>
      </c>
      <c r="D5876">
        <v>5169</v>
      </c>
    </row>
    <row r="5877" spans="1:4" x14ac:dyDescent="0.25">
      <c r="A5877" t="str">
        <f>T("   950510")</f>
        <v xml:space="preserve">   950510</v>
      </c>
      <c r="B5877" t="str">
        <f>T("   Articles pour fêtes de Noël (sauf bougies et guirlandes électriques)")</f>
        <v xml:space="preserve">   Articles pour fêtes de Noël (sauf bougies et guirlandes électriques)</v>
      </c>
      <c r="C5877">
        <v>29894360</v>
      </c>
      <c r="D5877">
        <v>6048</v>
      </c>
    </row>
    <row r="5878" spans="1:4" x14ac:dyDescent="0.25">
      <c r="A5878" t="str">
        <f>T("   950590")</f>
        <v xml:space="preserve">   950590</v>
      </c>
      <c r="B5878" t="str">
        <f>T("   Articles pour fêtes, carnaval ou autres divertissements, y.c. les articles de magie et articles-surprises, n.d.a.")</f>
        <v xml:space="preserve">   Articles pour fêtes, carnaval ou autres divertissements, y.c. les articles de magie et articles-surprises, n.d.a.</v>
      </c>
      <c r="C5878">
        <v>165422</v>
      </c>
      <c r="D5878">
        <v>306</v>
      </c>
    </row>
    <row r="5879" spans="1:4" x14ac:dyDescent="0.25">
      <c r="A5879" t="str">
        <f>T("   950629")</f>
        <v xml:space="preserve">   950629</v>
      </c>
      <c r="B5879" t="str">
        <f>T("   SKIS NAUTIQUES, AQUAPLANES ET AUTRE MATÉRIEL POUR LA PRATIQUE DES SPORTS NAUTIQUES (À L'EXCL. DES PLANCHES À VOILE) [01/01/1988-31/12/1994: SKIS NAUTIQUES, AQUAPLANES ET AUTRE MATERIEL POUR LES SPORTS NAUTIQUES, SAUF PLANCHES A VOILE]")</f>
        <v xml:space="preserve">   SKIS NAUTIQUES, AQUAPLANES ET AUTRE MATÉRIEL POUR LA PRATIQUE DES SPORTS NAUTIQUES (À L'EXCL. DES PLANCHES À VOILE) [01/01/1988-31/12/1994: SKIS NAUTIQUES, AQUAPLANES ET AUTRE MATERIEL POUR LES SPORTS NAUTIQUES, SAUF PLANCHES A VOILE]</v>
      </c>
      <c r="C5879">
        <v>3620899</v>
      </c>
      <c r="D5879">
        <v>1386</v>
      </c>
    </row>
    <row r="5880" spans="1:4" x14ac:dyDescent="0.25">
      <c r="A5880" t="str">
        <f>T("   950640")</f>
        <v xml:space="preserve">   950640</v>
      </c>
      <c r="B5880" t="str">
        <f>T("   Articles et matériel pour le tennis de table")</f>
        <v xml:space="preserve">   Articles et matériel pour le tennis de table</v>
      </c>
      <c r="C5880">
        <v>2507079</v>
      </c>
      <c r="D5880">
        <v>972</v>
      </c>
    </row>
    <row r="5881" spans="1:4" x14ac:dyDescent="0.25">
      <c r="A5881" t="str">
        <f>T("   950659")</f>
        <v xml:space="preserve">   950659</v>
      </c>
      <c r="B5881" t="str">
        <f>T("   RAQUETTES DE BADMINTON OU SIMIL., MÊME NON CORDÉES (À L'EXCL. DES RAQUETTES DE TENNIS ET DE TENNIS DE TABLE) [01/01/1988-31/12/1994: RAQUETTES DE BADMINTON OU SIMILAIRES, CORDEES OU NON ( SAUF RAQUETTES DE TENNIS ET DE TENNIS DE TABLE)]")</f>
        <v xml:space="preserve">   RAQUETTES DE BADMINTON OU SIMIL., MÊME NON CORDÉES (À L'EXCL. DES RAQUETTES DE TENNIS ET DE TENNIS DE TABLE) [01/01/1988-31/12/1994: RAQUETTES DE BADMINTON OU SIMILAIRES, CORDEES OU NON ( SAUF RAQUETTES DE TENNIS ET DE TENNIS DE TABLE)]</v>
      </c>
      <c r="C5881">
        <v>674983</v>
      </c>
      <c r="D5881">
        <v>97</v>
      </c>
    </row>
    <row r="5882" spans="1:4" x14ac:dyDescent="0.25">
      <c r="A5882" t="str">
        <f>T("   950662")</f>
        <v xml:space="preserve">   950662</v>
      </c>
      <c r="B5882" t="str">
        <f>T("   Ballons et balles gonflables")</f>
        <v xml:space="preserve">   Ballons et balles gonflables</v>
      </c>
      <c r="C5882">
        <v>1938028</v>
      </c>
      <c r="D5882">
        <v>237</v>
      </c>
    </row>
    <row r="5883" spans="1:4" x14ac:dyDescent="0.25">
      <c r="A5883" t="str">
        <f>T("   950669")</f>
        <v xml:space="preserve">   950669</v>
      </c>
      <c r="B5883" t="str">
        <f>T("   Ballons et balles (autres que gonflables et autres que balles de golf ou de tennis de table)")</f>
        <v xml:space="preserve">   Ballons et balles (autres que gonflables et autres que balles de golf ou de tennis de table)</v>
      </c>
      <c r="C5883">
        <v>14430979</v>
      </c>
      <c r="D5883">
        <v>2370</v>
      </c>
    </row>
    <row r="5884" spans="1:4" x14ac:dyDescent="0.25">
      <c r="A5884" t="str">
        <f>T("   950691")</f>
        <v xml:space="preserve">   950691</v>
      </c>
      <c r="B5884" t="str">
        <f>T("   Articles et matériel pour la culture physique, la gymnastique ou l'athlétisme")</f>
        <v xml:space="preserve">   Articles et matériel pour la culture physique, la gymnastique ou l'athlétisme</v>
      </c>
      <c r="C5884">
        <v>8618910</v>
      </c>
      <c r="D5884">
        <v>3857</v>
      </c>
    </row>
    <row r="5885" spans="1:4" x14ac:dyDescent="0.25">
      <c r="A5885" t="str">
        <f>T("   950699")</f>
        <v xml:space="preserve">   950699</v>
      </c>
      <c r="B5885" t="str">
        <f>T("   Articles et matériel pour le sport et les jeux de plein air, n.d.a.; piscines et pataugeoires")</f>
        <v xml:space="preserve">   Articles et matériel pour le sport et les jeux de plein air, n.d.a.; piscines et pataugeoires</v>
      </c>
      <c r="C5885">
        <v>74789435</v>
      </c>
      <c r="D5885">
        <v>17135</v>
      </c>
    </row>
    <row r="5886" spans="1:4" x14ac:dyDescent="0.25">
      <c r="A5886" t="str">
        <f>T("   950790")</f>
        <v xml:space="preserve">   950790</v>
      </c>
      <c r="B5886" t="str">
        <f>T("   Articles pour la pêche à la ligne n.d.a.; épuisettes de pêche, filets à papillons, et autres filets simil.; leurres et articles de chasse simil.; leurres et articles de chasse simil. (sauf appeaux de toutes sortes et oiseaux empaillés du n° 9705)")</f>
        <v xml:space="preserve">   Articles pour la pêche à la ligne n.d.a.; épuisettes de pêche, filets à papillons, et autres filets simil.; leurres et articles de chasse simil.; leurres et articles de chasse simil. (sauf appeaux de toutes sortes et oiseaux empaillés du n° 9705)</v>
      </c>
      <c r="C5886">
        <v>1267971</v>
      </c>
      <c r="D5886">
        <v>161</v>
      </c>
    </row>
    <row r="5887" spans="1:4" x14ac:dyDescent="0.25">
      <c r="A5887" t="str">
        <f>T("   960310")</f>
        <v xml:space="preserve">   960310</v>
      </c>
      <c r="B5887" t="str">
        <f>T("   Balais et balayettes consistant en matières végétales en bottes liées")</f>
        <v xml:space="preserve">   Balais et balayettes consistant en matières végétales en bottes liées</v>
      </c>
      <c r="C5887">
        <v>11352064</v>
      </c>
      <c r="D5887">
        <v>13584</v>
      </c>
    </row>
    <row r="5888" spans="1:4" x14ac:dyDescent="0.25">
      <c r="A5888" t="str">
        <f>T("   960321")</f>
        <v xml:space="preserve">   960321</v>
      </c>
      <c r="B5888" t="str">
        <f>T("   Brosses à dent, y.c. brosses à prothèses dentaires")</f>
        <v xml:space="preserve">   Brosses à dent, y.c. brosses à prothèses dentaires</v>
      </c>
      <c r="C5888">
        <v>74052383</v>
      </c>
      <c r="D5888">
        <v>12248</v>
      </c>
    </row>
    <row r="5889" spans="1:4" x14ac:dyDescent="0.25">
      <c r="A5889" t="str">
        <f>T("   960329")</f>
        <v xml:space="preserve">   960329</v>
      </c>
      <c r="B5889" t="str">
        <f>T("   Brosses et pinceaux à barbe, à cheveux, à cils ou à ongles et autres brosses pour la toilette des personnes, sauf brosses à dent")</f>
        <v xml:space="preserve">   Brosses et pinceaux à barbe, à cheveux, à cils ou à ongles et autres brosses pour la toilette des personnes, sauf brosses à dent</v>
      </c>
      <c r="C5889">
        <v>2916599</v>
      </c>
      <c r="D5889">
        <v>1318</v>
      </c>
    </row>
    <row r="5890" spans="1:4" x14ac:dyDescent="0.25">
      <c r="A5890" t="str">
        <f>T("   960330")</f>
        <v xml:space="preserve">   960330</v>
      </c>
      <c r="B5890" t="str">
        <f>T("   Pinceaux et brosses pour artistes, pinceaux à écrire et pinceaux simil. pour l'application des produits cosmétiques")</f>
        <v xml:space="preserve">   Pinceaux et brosses pour artistes, pinceaux à écrire et pinceaux simil. pour l'application des produits cosmétiques</v>
      </c>
      <c r="C5890">
        <v>627334</v>
      </c>
      <c r="D5890">
        <v>30</v>
      </c>
    </row>
    <row r="5891" spans="1:4" x14ac:dyDescent="0.25">
      <c r="A5891" t="str">
        <f>T("   960340")</f>
        <v xml:space="preserve">   960340</v>
      </c>
      <c r="B5891" t="str">
        <f>T("   Brosses et pinceaux à peindre, à badigeonner, à vernir ou simil., sauf pinceaux pour artistes et pinceaux simil. du n° 9603.30; tampons et rouleaux à peindre")</f>
        <v xml:space="preserve">   Brosses et pinceaux à peindre, à badigeonner, à vernir ou simil., sauf pinceaux pour artistes et pinceaux simil. du n° 9603.30; tampons et rouleaux à peindre</v>
      </c>
      <c r="C5891">
        <v>1521828</v>
      </c>
      <c r="D5891">
        <v>248</v>
      </c>
    </row>
    <row r="5892" spans="1:4" x14ac:dyDescent="0.25">
      <c r="A5892" t="str">
        <f>T("   960350")</f>
        <v xml:space="preserve">   960350</v>
      </c>
      <c r="B5892" t="str">
        <f>T("   Brosses constituant des parties de machines, d'appareils ou de véhicules")</f>
        <v xml:space="preserve">   Brosses constituant des parties de machines, d'appareils ou de véhicules</v>
      </c>
      <c r="C5892">
        <v>6633769</v>
      </c>
      <c r="D5892">
        <v>603</v>
      </c>
    </row>
    <row r="5893" spans="1:4" x14ac:dyDescent="0.25">
      <c r="A5893" t="str">
        <f>T("   960390")</f>
        <v xml:space="preserve">   960390</v>
      </c>
      <c r="B5893" t="str">
        <f>T("   ARTICLES DE BROSSERIE (SAUF DU N° 9603.10 À 9603.50), P.EX. TÊTES PRÉPARÉES POUR ARTICLES DE BROSSERIE ET RACLETTES EN CAOUTCHOUC OU EN MATIÈRES SOUPLES ANALOGUES")</f>
        <v xml:space="preserve">   ARTICLES DE BROSSERIE (SAUF DU N° 9603.10 À 9603.50), P.EX. TÊTES PRÉPARÉES POUR ARTICLES DE BROSSERIE ET RACLETTES EN CAOUTCHOUC OU EN MATIÈRES SOUPLES ANALOGUES</v>
      </c>
      <c r="C5893">
        <v>13604468</v>
      </c>
      <c r="D5893">
        <v>5849</v>
      </c>
    </row>
    <row r="5894" spans="1:4" x14ac:dyDescent="0.25">
      <c r="A5894" t="str">
        <f>T("   960400")</f>
        <v xml:space="preserve">   960400</v>
      </c>
      <c r="B5894" t="str">
        <f>T("   Tamis et cribles, à main (sauf simples égouttoirs et passoires)")</f>
        <v xml:space="preserve">   Tamis et cribles, à main (sauf simples égouttoirs et passoires)</v>
      </c>
      <c r="C5894">
        <v>6490724</v>
      </c>
      <c r="D5894">
        <v>223</v>
      </c>
    </row>
    <row r="5895" spans="1:4" x14ac:dyDescent="0.25">
      <c r="A5895" t="str">
        <f>T("   960500")</f>
        <v xml:space="preserve">   960500</v>
      </c>
      <c r="B5895" t="str">
        <f>T("   Assortiments de voyage pour la toilette des personnes, la couture ou le nettoyage des chaussures ou des vêtements (sauf trousses de manucure)")</f>
        <v xml:space="preserve">   Assortiments de voyage pour la toilette des personnes, la couture ou le nettoyage des chaussures ou des vêtements (sauf trousses de manucure)</v>
      </c>
      <c r="C5895">
        <v>1780277</v>
      </c>
      <c r="D5895">
        <v>308</v>
      </c>
    </row>
    <row r="5896" spans="1:4" x14ac:dyDescent="0.25">
      <c r="A5896" t="str">
        <f>T("   960629")</f>
        <v xml:space="preserve">   960629</v>
      </c>
      <c r="B5896" t="str">
        <f>T("   Boutons (sauf boutons en matières plastiques ou en métaux communs, non recouverts de matières textiles, boutons-pressions et boutons de manchette)")</f>
        <v xml:space="preserve">   Boutons (sauf boutons en matières plastiques ou en métaux communs, non recouverts de matières textiles, boutons-pressions et boutons de manchette)</v>
      </c>
      <c r="C5896">
        <v>6873862</v>
      </c>
      <c r="D5896">
        <v>11231</v>
      </c>
    </row>
    <row r="5897" spans="1:4" x14ac:dyDescent="0.25">
      <c r="A5897" t="str">
        <f>T("   960810")</f>
        <v xml:space="preserve">   960810</v>
      </c>
      <c r="B5897" t="str">
        <f>T("   Stylos et crayons à bille")</f>
        <v xml:space="preserve">   Stylos et crayons à bille</v>
      </c>
      <c r="C5897">
        <v>27554597</v>
      </c>
      <c r="D5897">
        <v>13680.73</v>
      </c>
    </row>
    <row r="5898" spans="1:4" x14ac:dyDescent="0.25">
      <c r="A5898" t="str">
        <f>T("   960820")</f>
        <v xml:space="preserve">   960820</v>
      </c>
      <c r="B5898" t="str">
        <f>T("   Stylos et marqueurs à mèche feutre ou à autres pointes poreuses")</f>
        <v xml:space="preserve">   Stylos et marqueurs à mèche feutre ou à autres pointes poreuses</v>
      </c>
      <c r="C5898">
        <v>36471278</v>
      </c>
      <c r="D5898">
        <v>21702.66</v>
      </c>
    </row>
    <row r="5899" spans="1:4" x14ac:dyDescent="0.25">
      <c r="A5899" t="str">
        <f>T("   960839")</f>
        <v xml:space="preserve">   960839</v>
      </c>
      <c r="B5899" t="str">
        <f>T("   Stylos à plume et autres stylos (autres qu'à dessiner à l'encre de Chine)")</f>
        <v xml:space="preserve">   Stylos à plume et autres stylos (autres qu'à dessiner à l'encre de Chine)</v>
      </c>
      <c r="C5899">
        <v>6265926</v>
      </c>
      <c r="D5899">
        <v>4783</v>
      </c>
    </row>
    <row r="5900" spans="1:4" x14ac:dyDescent="0.25">
      <c r="A5900" t="str">
        <f>T("   960840")</f>
        <v xml:space="preserve">   960840</v>
      </c>
      <c r="B5900" t="str">
        <f>T("   Porte-mine")</f>
        <v xml:space="preserve">   Porte-mine</v>
      </c>
      <c r="C5900">
        <v>300928</v>
      </c>
      <c r="D5900">
        <v>18</v>
      </c>
    </row>
    <row r="5901" spans="1:4" x14ac:dyDescent="0.25">
      <c r="A5901" t="str">
        <f>T("   960899")</f>
        <v xml:space="preserve">   960899</v>
      </c>
      <c r="B5901" t="str">
        <f>T("   PARTIES DE STYLOS ET CRAYONS À BILLE, STYLOS ET MARQUEURS À MÈCHE FEUTRE OU À AUTRES POINTES POREUSES, STYLOS ET PORTE-MINE, N.D.A.; PORTE-PLUME, PORTE-CRAYON ET ARTICLES SIMIL., STYLETS POUR DUPLICATEURS")</f>
        <v xml:space="preserve">   PARTIES DE STYLOS ET CRAYONS À BILLE, STYLOS ET MARQUEURS À MÈCHE FEUTRE OU À AUTRES POINTES POREUSES, STYLOS ET PORTE-MINE, N.D.A.; PORTE-PLUME, PORTE-CRAYON ET ARTICLES SIMIL., STYLETS POUR DUPLICATEURS</v>
      </c>
      <c r="C5901">
        <v>6584459</v>
      </c>
      <c r="D5901">
        <v>1497</v>
      </c>
    </row>
    <row r="5902" spans="1:4" x14ac:dyDescent="0.25">
      <c r="A5902" t="str">
        <f>T("   960910")</f>
        <v xml:space="preserve">   960910</v>
      </c>
      <c r="B5902" t="str">
        <f>T("   Crayons à gaine")</f>
        <v xml:space="preserve">   Crayons à gaine</v>
      </c>
      <c r="C5902">
        <v>6649591</v>
      </c>
      <c r="D5902">
        <v>1213</v>
      </c>
    </row>
    <row r="5903" spans="1:4" x14ac:dyDescent="0.25">
      <c r="A5903" t="str">
        <f>T("   960990")</f>
        <v xml:space="preserve">   960990</v>
      </c>
      <c r="B5903" t="str">
        <f>T("   Crayons (sauf crayons à gaine), pastels, fusains, craies à écrire ou à dessiner et craies de tailleurs")</f>
        <v xml:space="preserve">   Crayons (sauf crayons à gaine), pastels, fusains, craies à écrire ou à dessiner et craies de tailleurs</v>
      </c>
      <c r="C5903">
        <v>76312664</v>
      </c>
      <c r="D5903">
        <v>355064</v>
      </c>
    </row>
    <row r="5904" spans="1:4" x14ac:dyDescent="0.25">
      <c r="A5904" t="str">
        <f>T("   961000")</f>
        <v xml:space="preserve">   961000</v>
      </c>
      <c r="B5904" t="str">
        <f>T("   Ardoises et tableaux pour l'écriture ou le dessin, même encadrés")</f>
        <v xml:space="preserve">   Ardoises et tableaux pour l'écriture ou le dessin, même encadrés</v>
      </c>
      <c r="C5904">
        <v>4393922</v>
      </c>
      <c r="D5904">
        <v>413</v>
      </c>
    </row>
    <row r="5905" spans="1:4" x14ac:dyDescent="0.25">
      <c r="A5905" t="str">
        <f>T("   961100")</f>
        <v xml:space="preserve">   961100</v>
      </c>
      <c r="B5905" t="str">
        <f>T("   Dateurs, cachets, numéroteurs, timbres et articles simil., y.c. les appareils pour l'impression d'étiquettes, à main; composteurs et imprimeries comportant des composteurs, à main")</f>
        <v xml:space="preserve">   Dateurs, cachets, numéroteurs, timbres et articles simil., y.c. les appareils pour l'impression d'étiquettes, à main; composteurs et imprimeries comportant des composteurs, à main</v>
      </c>
      <c r="C5905">
        <v>1287204</v>
      </c>
      <c r="D5905">
        <v>1649</v>
      </c>
    </row>
    <row r="5906" spans="1:4" x14ac:dyDescent="0.25">
      <c r="A5906" t="str">
        <f>T("   961210")</f>
        <v xml:space="preserve">   961210</v>
      </c>
      <c r="B5906" t="str">
        <f>T("   Rubans encreurs pour machines à écrire et rubans encreurs simil., encrés ou autrement préparés en vue de laisser des empreintes, même montés sur bobines ou en cartouches")</f>
        <v xml:space="preserve">   Rubans encreurs pour machines à écrire et rubans encreurs simil., encrés ou autrement préparés en vue de laisser des empreintes, même montés sur bobines ou en cartouches</v>
      </c>
      <c r="C5906">
        <v>3054481</v>
      </c>
      <c r="D5906">
        <v>722</v>
      </c>
    </row>
    <row r="5907" spans="1:4" x14ac:dyDescent="0.25">
      <c r="A5907" t="str">
        <f>T("   961220")</f>
        <v xml:space="preserve">   961220</v>
      </c>
      <c r="B5907" t="str">
        <f>T("   Tampons encreurs, même imprégnés, avec ou sans boîte")</f>
        <v xml:space="preserve">   Tampons encreurs, même imprégnés, avec ou sans boîte</v>
      </c>
      <c r="C5907">
        <v>4003324</v>
      </c>
      <c r="D5907">
        <v>273</v>
      </c>
    </row>
    <row r="5908" spans="1:4" x14ac:dyDescent="0.25">
      <c r="A5908" t="str">
        <f>T("   961320")</f>
        <v xml:space="preserve">   961320</v>
      </c>
      <c r="B5908" t="str">
        <f>T("   Briquets de poche, à gaz, rechargeables")</f>
        <v xml:space="preserve">   Briquets de poche, à gaz, rechargeables</v>
      </c>
      <c r="C5908">
        <v>894651</v>
      </c>
      <c r="D5908">
        <v>75</v>
      </c>
    </row>
    <row r="5909" spans="1:4" x14ac:dyDescent="0.25">
      <c r="A5909" t="str">
        <f>T("   961380")</f>
        <v xml:space="preserve">   961380</v>
      </c>
      <c r="B5909" t="str">
        <f>T("   Briquets et allumeurs (à l'excl. des briquets de poche à gaz, des mèches et cordeaux détonants pour poudres propulsives et explosifs)")</f>
        <v xml:space="preserve">   Briquets et allumeurs (à l'excl. des briquets de poche à gaz, des mèches et cordeaux détonants pour poudres propulsives et explosifs)</v>
      </c>
      <c r="C5909">
        <v>507457</v>
      </c>
      <c r="D5909">
        <v>20</v>
      </c>
    </row>
    <row r="5910" spans="1:4" x14ac:dyDescent="0.25">
      <c r="A5910" t="str">
        <f>T("   961390")</f>
        <v xml:space="preserve">   961390</v>
      </c>
      <c r="B5910" t="str">
        <f>T("   Parties de briquets et allumeurs, n.d.a.")</f>
        <v xml:space="preserve">   Parties de briquets et allumeurs, n.d.a.</v>
      </c>
      <c r="C5910">
        <v>5871</v>
      </c>
      <c r="D5910">
        <v>25</v>
      </c>
    </row>
    <row r="5911" spans="1:4" x14ac:dyDescent="0.25">
      <c r="A5911" t="str">
        <f>T("   961519")</f>
        <v xml:space="preserve">   961519</v>
      </c>
      <c r="B5911" t="str">
        <f>T("   PEIGNÉS À COIFFER, PEIGNÉS DE COIFFURE, BARRETTES ET ARTICLES SIMIL., EN MATIÈRES (AUTRES QUE CAOUTCHOUC OU MATIÈRES PLASTIQUES)")</f>
        <v xml:space="preserve">   PEIGNÉS À COIFFER, PEIGNÉS DE COIFFURE, BARRETTES ET ARTICLES SIMIL., EN MATIÈRES (AUTRES QUE CAOUTCHOUC OU MATIÈRES PLASTIQUES)</v>
      </c>
      <c r="C5911">
        <v>18820151</v>
      </c>
      <c r="D5911">
        <v>6906</v>
      </c>
    </row>
    <row r="5912" spans="1:4" x14ac:dyDescent="0.25">
      <c r="A5912" t="str">
        <f>T("   961590")</f>
        <v xml:space="preserve">   961590</v>
      </c>
      <c r="B5912" t="str">
        <f>T("   Epingles à cheveux; pince-guiches, ondulateurs, bigoudis et articles pour la coiffure (autres que ceux du n° 8516); parties")</f>
        <v xml:space="preserve">   Epingles à cheveux; pince-guiches, ondulateurs, bigoudis et articles pour la coiffure (autres que ceux du n° 8516); parties</v>
      </c>
      <c r="C5912">
        <v>2200746</v>
      </c>
      <c r="D5912">
        <v>213</v>
      </c>
    </row>
    <row r="5913" spans="1:4" x14ac:dyDescent="0.25">
      <c r="A5913" t="str">
        <f>T("   961700")</f>
        <v xml:space="preserve">   961700</v>
      </c>
      <c r="B5913" t="str">
        <f>T("   Bouteilles isolantes et autres récipients isothermiques montés, dont l'isolation est assurée par le vide, ainsi que leurs parties (à l'excl. des ampoules en verre)")</f>
        <v xml:space="preserve">   Bouteilles isolantes et autres récipients isothermiques montés, dont l'isolation est assurée par le vide, ainsi que leurs parties (à l'excl. des ampoules en verre)</v>
      </c>
      <c r="C5913">
        <v>907795</v>
      </c>
      <c r="D5913">
        <v>223</v>
      </c>
    </row>
    <row r="5914" spans="1:4" x14ac:dyDescent="0.25">
      <c r="A5914" t="str">
        <f>T("   970110")</f>
        <v xml:space="preserve">   970110</v>
      </c>
      <c r="B5914" t="str">
        <f>T("   Tableaux, p.ex. peintures à l'huile, aquarelles et pastels, et dessins, faits entièrement à la main (à l'excl. des dessins du n° 4906 et des articles manufacturés décorés à la main)")</f>
        <v xml:space="preserve">   Tableaux, p.ex. peintures à l'huile, aquarelles et pastels, et dessins, faits entièrement à la main (à l'excl. des dessins du n° 4906 et des articles manufacturés décorés à la main)</v>
      </c>
      <c r="C5914">
        <v>631500</v>
      </c>
      <c r="D5914">
        <v>265</v>
      </c>
    </row>
    <row r="5915" spans="1:4" x14ac:dyDescent="0.25">
      <c r="A5915" t="str">
        <f>T("   970200")</f>
        <v xml:space="preserve">   970200</v>
      </c>
      <c r="B5915" t="str">
        <f>T("   Gravures, estampes et lithographies originales")</f>
        <v xml:space="preserve">   Gravures, estampes et lithographies originales</v>
      </c>
      <c r="C5915">
        <v>200000</v>
      </c>
      <c r="D5915">
        <v>200</v>
      </c>
    </row>
    <row r="5916" spans="1:4" x14ac:dyDescent="0.25">
      <c r="A5916" t="str">
        <f>T("   970300")</f>
        <v xml:space="preserve">   970300</v>
      </c>
      <c r="B5916" t="str">
        <f>T("   Productions originales de l'art statuaire ou de la sculpture, en toutes matières")</f>
        <v xml:space="preserve">   Productions originales de l'art statuaire ou de la sculpture, en toutes matières</v>
      </c>
      <c r="C5916">
        <v>250000</v>
      </c>
      <c r="D5916">
        <v>720</v>
      </c>
    </row>
    <row r="5917" spans="1:4" x14ac:dyDescent="0.25">
      <c r="A5917" t="str">
        <f>T("GA")</f>
        <v>GA</v>
      </c>
      <c r="B5917" t="str">
        <f>T("Gabon")</f>
        <v>Gabon</v>
      </c>
    </row>
    <row r="5918" spans="1:4" x14ac:dyDescent="0.25">
      <c r="A5918" t="str">
        <f>T("   ZZ_Total_Produit_SH6")</f>
        <v xml:space="preserve">   ZZ_Total_Produit_SH6</v>
      </c>
      <c r="B5918" t="str">
        <f>T("   ZZ_Total_Produit_SH6")</f>
        <v xml:space="preserve">   ZZ_Total_Produit_SH6</v>
      </c>
      <c r="C5918">
        <v>475211761</v>
      </c>
      <c r="D5918">
        <v>2832757</v>
      </c>
    </row>
    <row r="5919" spans="1:4" x14ac:dyDescent="0.25">
      <c r="A5919" t="str">
        <f>T("   190219")</f>
        <v xml:space="preserve">   190219</v>
      </c>
      <c r="B5919" t="str">
        <f>T("   PÂTES ALIMENTAIRES NON-CUITES NI FARCIES NI AUTREMENT PRÉPARÉES, NE CONTENANT PAS D'OEUFS")</f>
        <v xml:space="preserve">   PÂTES ALIMENTAIRES NON-CUITES NI FARCIES NI AUTREMENT PRÉPARÉES, NE CONTENANT PAS D'OEUFS</v>
      </c>
      <c r="C5919">
        <v>4000000</v>
      </c>
      <c r="D5919">
        <v>30220</v>
      </c>
    </row>
    <row r="5920" spans="1:4" x14ac:dyDescent="0.25">
      <c r="A5920" t="str">
        <f>T("   190590")</f>
        <v xml:space="preserve">   190590</v>
      </c>
      <c r="B5920" t="s">
        <v>51</v>
      </c>
      <c r="C5920">
        <v>6600</v>
      </c>
      <c r="D5920">
        <v>44</v>
      </c>
    </row>
    <row r="5921" spans="1:4" x14ac:dyDescent="0.25">
      <c r="A5921" t="str">
        <f>T("   271019")</f>
        <v xml:space="preserve">   271019</v>
      </c>
      <c r="B5921" t="str">
        <f>T("   Huiles moyennes et préparations, de pétrole ou de minéraux bitumineux, n.d.a.")</f>
        <v xml:space="preserve">   Huiles moyennes et préparations, de pétrole ou de minéraux bitumineux, n.d.a.</v>
      </c>
      <c r="C5921">
        <v>342576528</v>
      </c>
      <c r="D5921">
        <v>2595655</v>
      </c>
    </row>
    <row r="5922" spans="1:4" x14ac:dyDescent="0.25">
      <c r="A5922" t="str">
        <f>T("   420299")</f>
        <v xml:space="preserve">   420299</v>
      </c>
      <c r="B5922" t="s">
        <v>165</v>
      </c>
      <c r="C5922">
        <v>1500000</v>
      </c>
      <c r="D5922">
        <v>6965</v>
      </c>
    </row>
    <row r="5923" spans="1:4" x14ac:dyDescent="0.25">
      <c r="A5923" t="str">
        <f>T("   440130")</f>
        <v xml:space="preserve">   440130</v>
      </c>
      <c r="B5923" t="str">
        <f>T("   Sciures, déchets et débris de bois, même agglomérés sous forme de bûches, briquettes, boulettes ou sous formes simil.")</f>
        <v xml:space="preserve">   Sciures, déchets et débris de bois, même agglomérés sous forme de bûches, briquettes, boulettes ou sous formes simil.</v>
      </c>
      <c r="C5923">
        <v>1600000</v>
      </c>
      <c r="D5923">
        <v>39200</v>
      </c>
    </row>
    <row r="5924" spans="1:4" x14ac:dyDescent="0.25">
      <c r="A5924" t="str">
        <f>T("   440799")</f>
        <v xml:space="preserve">   440799</v>
      </c>
      <c r="B5924" t="s">
        <v>171</v>
      </c>
      <c r="C5924">
        <v>1196000</v>
      </c>
      <c r="D5924">
        <v>6000</v>
      </c>
    </row>
    <row r="5925" spans="1:4" x14ac:dyDescent="0.25">
      <c r="A5925" t="str">
        <f>T("   490199")</f>
        <v xml:space="preserve">   490199</v>
      </c>
      <c r="B5925"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5925">
        <v>700000</v>
      </c>
      <c r="D5925">
        <v>800</v>
      </c>
    </row>
    <row r="5926" spans="1:4" x14ac:dyDescent="0.25">
      <c r="A5926" t="str">
        <f>T("   610590")</f>
        <v xml:space="preserve">   610590</v>
      </c>
      <c r="B5926" t="str">
        <f>T("   Chemises et chemisettes, en bonneterie, de matières textiles, pour hommes ou garçonnets (sauf de coton, fibres synthétiques ou artificielles et sauf chemises de nuit, T-shirts et maillots de corps)")</f>
        <v xml:space="preserve">   Chemises et chemisettes, en bonneterie, de matières textiles, pour hommes ou garçonnets (sauf de coton, fibres synthétiques ou artificielles et sauf chemises de nuit, T-shirts et maillots de corps)</v>
      </c>
      <c r="C5926">
        <v>1399461</v>
      </c>
      <c r="D5926">
        <v>370</v>
      </c>
    </row>
    <row r="5927" spans="1:4" x14ac:dyDescent="0.25">
      <c r="A5927" t="str">
        <f>T("   610990")</f>
        <v xml:space="preserve">   610990</v>
      </c>
      <c r="B5927" t="str">
        <f>T("   T-shirts et maillots de corps, en bonneterie, de matières textiles (sauf de coton)")</f>
        <v xml:space="preserve">   T-shirts et maillots de corps, en bonneterie, de matières textiles (sauf de coton)</v>
      </c>
      <c r="C5927">
        <v>5000000</v>
      </c>
      <c r="D5927">
        <v>12340</v>
      </c>
    </row>
    <row r="5928" spans="1:4" x14ac:dyDescent="0.25">
      <c r="A5928" t="str">
        <f>T("   611490")</f>
        <v xml:space="preserve">   611490</v>
      </c>
      <c r="B5928" t="str">
        <f>T("   Vêtements spéciaux destinés à des fins professionnelles, sportives ou autres n.d.a., en bonneterie, de matières textiles (sauf de laine, poils fins, coton, fibres synthétiques ou artificielles)")</f>
        <v xml:space="preserve">   Vêtements spéciaux destinés à des fins professionnelles, sportives ou autres n.d.a., en bonneterie, de matières textiles (sauf de laine, poils fins, coton, fibres synthétiques ou artificielles)</v>
      </c>
      <c r="C5928">
        <v>3000000</v>
      </c>
      <c r="D5928">
        <v>4660</v>
      </c>
    </row>
    <row r="5929" spans="1:4" x14ac:dyDescent="0.25">
      <c r="A5929" t="str">
        <f>T("   620590")</f>
        <v xml:space="preserve">   620590</v>
      </c>
      <c r="B5929"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5929">
        <v>1150000</v>
      </c>
      <c r="D5929">
        <v>2000</v>
      </c>
    </row>
    <row r="5930" spans="1:4" x14ac:dyDescent="0.25">
      <c r="A5930" t="str">
        <f>T("   621040")</f>
        <v xml:space="preserve">   621040</v>
      </c>
      <c r="B5930" t="s">
        <v>271</v>
      </c>
      <c r="C5930">
        <v>1000000</v>
      </c>
      <c r="D5930">
        <v>1000</v>
      </c>
    </row>
    <row r="5931" spans="1:4" x14ac:dyDescent="0.25">
      <c r="A5931" t="str">
        <f>T("   630900")</f>
        <v xml:space="preserve">   630900</v>
      </c>
      <c r="B5931" t="s">
        <v>278</v>
      </c>
      <c r="C5931">
        <v>11400334</v>
      </c>
      <c r="D5931">
        <v>23655</v>
      </c>
    </row>
    <row r="5932" spans="1:4" x14ac:dyDescent="0.25">
      <c r="A5932" t="str">
        <f>T("   640299")</f>
        <v xml:space="preserve">   640299</v>
      </c>
      <c r="B5932" t="s">
        <v>283</v>
      </c>
      <c r="C5932">
        <v>938879</v>
      </c>
      <c r="D5932">
        <v>245</v>
      </c>
    </row>
    <row r="5933" spans="1:4" x14ac:dyDescent="0.25">
      <c r="A5933" t="str">
        <f>T("   701090")</f>
        <v xml:space="preserve">   701090</v>
      </c>
      <c r="B5933" t="s">
        <v>323</v>
      </c>
      <c r="C5933">
        <v>300000</v>
      </c>
      <c r="D5933">
        <v>2580</v>
      </c>
    </row>
    <row r="5934" spans="1:4" x14ac:dyDescent="0.25">
      <c r="A5934" t="str">
        <f>T("   701890")</f>
        <v xml:space="preserve">   701890</v>
      </c>
      <c r="B5934" t="s">
        <v>339</v>
      </c>
      <c r="C5934">
        <v>1000000</v>
      </c>
      <c r="D5934">
        <v>850</v>
      </c>
    </row>
    <row r="5935" spans="1:4" x14ac:dyDescent="0.25">
      <c r="A5935" t="str">
        <f>T("   732394")</f>
        <v xml:space="preserve">   732394</v>
      </c>
      <c r="B5935" t="s">
        <v>367</v>
      </c>
      <c r="C5935">
        <v>1550000</v>
      </c>
      <c r="D5935">
        <v>1800</v>
      </c>
    </row>
    <row r="5936" spans="1:4" x14ac:dyDescent="0.25">
      <c r="A5936" t="str">
        <f>T("   732399")</f>
        <v xml:space="preserve">   732399</v>
      </c>
      <c r="B5936" t="s">
        <v>368</v>
      </c>
      <c r="C5936">
        <v>2500000</v>
      </c>
      <c r="D5936">
        <v>2500</v>
      </c>
    </row>
    <row r="5937" spans="1:4" x14ac:dyDescent="0.25">
      <c r="A5937" t="str">
        <f>T("   847420")</f>
        <v xml:space="preserve">   847420</v>
      </c>
      <c r="B5937" t="str">
        <f>T("   Machines et appareils à concasser, broyer ou pulvériser les matières minérales solides")</f>
        <v xml:space="preserve">   Machines et appareils à concasser, broyer ou pulvériser les matières minérales solides</v>
      </c>
      <c r="C5937">
        <v>6456084</v>
      </c>
      <c r="D5937">
        <v>7000</v>
      </c>
    </row>
    <row r="5938" spans="1:4" x14ac:dyDescent="0.25">
      <c r="A5938" t="str">
        <f>T("   847490")</f>
        <v xml:space="preserve">   847490</v>
      </c>
      <c r="B5938" t="str">
        <f>T("   Parties des machines et appareils pour le travail des matières minérales du n° 8474, n.d.a.")</f>
        <v xml:space="preserve">   Parties des machines et appareils pour le travail des matières minérales du n° 8474, n.d.a.</v>
      </c>
      <c r="C5938">
        <v>37681018</v>
      </c>
      <c r="D5938">
        <v>900</v>
      </c>
    </row>
    <row r="5939" spans="1:4" x14ac:dyDescent="0.25">
      <c r="A5939" t="str">
        <f>T("   850690")</f>
        <v xml:space="preserve">   850690</v>
      </c>
      <c r="B5939" t="str">
        <f>T("   Parties de piles et batteries de piles électriques n.d.a.")</f>
        <v xml:space="preserve">   Parties de piles et batteries de piles électriques n.d.a.</v>
      </c>
      <c r="C5939">
        <v>200000</v>
      </c>
      <c r="D5939">
        <v>1200</v>
      </c>
    </row>
    <row r="5940" spans="1:4" x14ac:dyDescent="0.25">
      <c r="A5940" t="str">
        <f>T("   851719")</f>
        <v xml:space="preserve">   851719</v>
      </c>
      <c r="B5940" t="str">
        <f>T("   Postes téléphoniques d'usagers pour la téléphonie par fil; visiophones (sauf postes téléphoniques d'usagers par fil à combinés sans fil et parlophones)")</f>
        <v xml:space="preserve">   Postes téléphoniques d'usagers pour la téléphonie par fil; visiophones (sauf postes téléphoniques d'usagers par fil à combinés sans fil et parlophones)</v>
      </c>
      <c r="C5940">
        <v>1651621</v>
      </c>
      <c r="D5940">
        <v>33</v>
      </c>
    </row>
    <row r="5941" spans="1:4" x14ac:dyDescent="0.25">
      <c r="A5941" t="str">
        <f>T("   870120")</f>
        <v xml:space="preserve">   870120</v>
      </c>
      <c r="B5941" t="str">
        <f>T("   Tracteurs routiers pour semi-remorques")</f>
        <v xml:space="preserve">   Tracteurs routiers pour semi-remorques</v>
      </c>
      <c r="C5941">
        <v>3228042</v>
      </c>
      <c r="D5941">
        <v>6000</v>
      </c>
    </row>
    <row r="5942" spans="1:4" x14ac:dyDescent="0.25">
      <c r="A5942" t="str">
        <f>T("   870422")</f>
        <v xml:space="preserve">   870422</v>
      </c>
      <c r="B5942" t="s">
        <v>487</v>
      </c>
      <c r="C5942">
        <v>33356413</v>
      </c>
      <c r="D5942">
        <v>67000</v>
      </c>
    </row>
    <row r="5943" spans="1:4" x14ac:dyDescent="0.25">
      <c r="A5943" t="str">
        <f>T("   870891")</f>
        <v xml:space="preserve">   870891</v>
      </c>
      <c r="B5943" t="str">
        <f>T("   RADIATEURS ET LEURS PARTIES, POUR TRACTEURS, VÉHICULES POUR LE TRANSPORT DE &gt;= 10 PERSONNES, CHAUFFEUR INCLUS, VOITURES DE TOURISME, VÉHICULES POUR LE TRANSPORT DE MARCHANDISES ET VÉHICULES À USAGES SPÉCIAUX, N.D.A.")</f>
        <v xml:space="preserve">   RADIATEURS ET LEURS PARTIES, POUR TRACTEURS, VÉHICULES POUR LE TRANSPORT DE &gt;= 10 PERSONNES, CHAUFFEUR INCLUS, VOITURES DE TOURISME, VÉHICULES POUR LE TRANSPORT DE MARCHANDISES ET VÉHICULES À USAGES SPÉCIAUX, N.D.A.</v>
      </c>
      <c r="C5943">
        <v>307500</v>
      </c>
      <c r="D5943">
        <v>1500</v>
      </c>
    </row>
    <row r="5944" spans="1:4" x14ac:dyDescent="0.25">
      <c r="A5944" t="str">
        <f>T("   870899")</f>
        <v xml:space="preserve">   870899</v>
      </c>
      <c r="B5944"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5944">
        <v>328834</v>
      </c>
      <c r="D5944">
        <v>70</v>
      </c>
    </row>
    <row r="5945" spans="1:4" x14ac:dyDescent="0.25">
      <c r="A5945" t="str">
        <f>T("   871110")</f>
        <v xml:space="preserve">   871110</v>
      </c>
      <c r="B5945" t="str">
        <f>T("   Cyclomoteurs, à moteur à piston alternatif, cylindrée &lt;= 50 cm³, y.c. cycles à moteur auxiliaire")</f>
        <v xml:space="preserve">   Cyclomoteurs, à moteur à piston alternatif, cylindrée &lt;= 50 cm³, y.c. cycles à moteur auxiliaire</v>
      </c>
      <c r="C5945">
        <v>707419</v>
      </c>
      <c r="D5945">
        <v>400</v>
      </c>
    </row>
    <row r="5946" spans="1:4" x14ac:dyDescent="0.25">
      <c r="A5946" t="str">
        <f>T("   871640")</f>
        <v xml:space="preserve">   871640</v>
      </c>
      <c r="B5946"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5946">
        <v>2152028</v>
      </c>
      <c r="D5946">
        <v>9000</v>
      </c>
    </row>
    <row r="5947" spans="1:4" x14ac:dyDescent="0.25">
      <c r="A5947" t="str">
        <f>T("   940350")</f>
        <v xml:space="preserve">   940350</v>
      </c>
      <c r="B5947" t="str">
        <f>T("   Meubles pour chambres à coucher, en bois (sauf sièges)")</f>
        <v xml:space="preserve">   Meubles pour chambres à coucher, en bois (sauf sièges)</v>
      </c>
      <c r="C5947">
        <v>2600000</v>
      </c>
      <c r="D5947">
        <v>3500</v>
      </c>
    </row>
    <row r="5948" spans="1:4" x14ac:dyDescent="0.25">
      <c r="A5948" t="str">
        <f>T("   940360")</f>
        <v xml:space="preserve">   940360</v>
      </c>
      <c r="B5948" t="str">
        <f>T("   Meubles en bois (autres que pour bureaux, cuisines ou chambres à coucher et autres que sièges)")</f>
        <v xml:space="preserve">   Meubles en bois (autres que pour bureaux, cuisines ou chambres à coucher et autres que sièges)</v>
      </c>
      <c r="C5948">
        <v>1000000</v>
      </c>
      <c r="D5948">
        <v>700</v>
      </c>
    </row>
    <row r="5949" spans="1:4" x14ac:dyDescent="0.25">
      <c r="A5949" t="str">
        <f>T("   940380")</f>
        <v xml:space="preserve">   940380</v>
      </c>
      <c r="B5949" t="str">
        <f>T("   Meubles en rotin, osier, bambou ou autres matières (sauf métal, bois et matières plastiques)")</f>
        <v xml:space="preserve">   Meubles en rotin, osier, bambou ou autres matières (sauf métal, bois et matières plastiques)</v>
      </c>
      <c r="C5949">
        <v>4725000</v>
      </c>
      <c r="D5949">
        <v>4570</v>
      </c>
    </row>
    <row r="5950" spans="1:4" x14ac:dyDescent="0.25">
      <c r="A5950" t="str">
        <f>T("GB")</f>
        <v>GB</v>
      </c>
      <c r="B5950" t="str">
        <f>T("Royaume-Uni")</f>
        <v>Royaume-Uni</v>
      </c>
    </row>
    <row r="5951" spans="1:4" x14ac:dyDescent="0.25">
      <c r="A5951" t="str">
        <f>T("   ZZ_Total_Produit_SH6")</f>
        <v xml:space="preserve">   ZZ_Total_Produit_SH6</v>
      </c>
      <c r="B5951" t="str">
        <f>T("   ZZ_Total_Produit_SH6")</f>
        <v xml:space="preserve">   ZZ_Total_Produit_SH6</v>
      </c>
      <c r="C5951">
        <v>27747862572</v>
      </c>
      <c r="D5951">
        <v>60496498.18</v>
      </c>
    </row>
    <row r="5952" spans="1:4" x14ac:dyDescent="0.25">
      <c r="A5952" t="str">
        <f>T("   020712")</f>
        <v xml:space="preserve">   020712</v>
      </c>
      <c r="B5952" t="str">
        <f>T("   COQS ET POULES [DES ESPÈCES DOMESTIQUES], NON-DÉCOUPÉS EN MORCEAUX, CONGELÉS")</f>
        <v xml:space="preserve">   COQS ET POULES [DES ESPÈCES DOMESTIQUES], NON-DÉCOUPÉS EN MORCEAUX, CONGELÉS</v>
      </c>
      <c r="C5952">
        <v>66508578</v>
      </c>
      <c r="D5952">
        <v>110790</v>
      </c>
    </row>
    <row r="5953" spans="1:4" x14ac:dyDescent="0.25">
      <c r="A5953" t="str">
        <f>T("   020714")</f>
        <v xml:space="preserve">   020714</v>
      </c>
      <c r="B5953" t="str">
        <f>T("   Morceaux et abats comestibles de coqs et de poules [des espèces domestiques], congelés")</f>
        <v xml:space="preserve">   Morceaux et abats comestibles de coqs et de poules [des espèces domestiques], congelés</v>
      </c>
      <c r="C5953">
        <v>5629684436</v>
      </c>
      <c r="D5953">
        <v>9349960</v>
      </c>
    </row>
    <row r="5954" spans="1:4" x14ac:dyDescent="0.25">
      <c r="A5954" t="str">
        <f>T("   020727")</f>
        <v xml:space="preserve">   020727</v>
      </c>
      <c r="B5954" t="str">
        <f>T("   Morceaux et abats comestibles de dindes et dindons [des espèces domestiques], congelés")</f>
        <v xml:space="preserve">   Morceaux et abats comestibles de dindes et dindons [des espèces domestiques], congelés</v>
      </c>
      <c r="C5954">
        <v>45000718</v>
      </c>
      <c r="D5954">
        <v>77913</v>
      </c>
    </row>
    <row r="5955" spans="1:4" x14ac:dyDescent="0.25">
      <c r="A5955" t="str">
        <f>T("   030329")</f>
        <v xml:space="preserve">   030329</v>
      </c>
      <c r="B5955" t="str">
        <f>T("   Salmonidés, congelés (à l'excl. des saumons du Pacifique, de l'Atlantique et du Danube ainsi que des truites)")</f>
        <v xml:space="preserve">   Salmonidés, congelés (à l'excl. des saumons du Pacifique, de l'Atlantique et du Danube ainsi que des truites)</v>
      </c>
      <c r="C5955">
        <v>168768668</v>
      </c>
      <c r="D5955">
        <v>964390</v>
      </c>
    </row>
    <row r="5956" spans="1:4" x14ac:dyDescent="0.25">
      <c r="A5956" t="str">
        <f>T("   030379")</f>
        <v xml:space="preserve">   030379</v>
      </c>
      <c r="B5956" t="s">
        <v>17</v>
      </c>
      <c r="C5956">
        <v>60718937</v>
      </c>
      <c r="D5956">
        <v>361140</v>
      </c>
    </row>
    <row r="5957" spans="1:4" x14ac:dyDescent="0.25">
      <c r="A5957" t="str">
        <f>T("   040110")</f>
        <v xml:space="preserve">   040110</v>
      </c>
      <c r="B5957" t="str">
        <f>T("   LAIT ET CRÈME DE LAIT, NON-CONCENTRÉS NI ADDITIONNÉS DE SUCRE OU D'AUTRES ÉDULCORANTS, D'UNE TENEUR EN POIDS DE MATIÈRES GRASSES &lt;= 1%")</f>
        <v xml:space="preserve">   LAIT ET CRÈME DE LAIT, NON-CONCENTRÉS NI ADDITIONNÉS DE SUCRE OU D'AUTRES ÉDULCORANTS, D'UNE TENEUR EN POIDS DE MATIÈRES GRASSES &lt;= 1%</v>
      </c>
      <c r="C5957">
        <v>75802</v>
      </c>
      <c r="D5957">
        <v>24</v>
      </c>
    </row>
    <row r="5958" spans="1:4" x14ac:dyDescent="0.25">
      <c r="A5958" t="str">
        <f>T("   040130")</f>
        <v xml:space="preserve">   040130</v>
      </c>
      <c r="B5958" t="str">
        <f>T("   LAIT ET CRÈME DE LAIT, NON-CONCENTRÉS NI ADDITIONNÉS DE SUCRE OU D'AUTRES ÉDULCORANTS, D'UNE TENEUR EN POIDS DE MATIÈRES GRASSES &gt; 6%")</f>
        <v xml:space="preserve">   LAIT ET CRÈME DE LAIT, NON-CONCENTRÉS NI ADDITIONNÉS DE SUCRE OU D'AUTRES ÉDULCORANTS, D'UNE TENEUR EN POIDS DE MATIÈRES GRASSES &gt; 6%</v>
      </c>
      <c r="C5958">
        <v>9839</v>
      </c>
      <c r="D5958">
        <v>10</v>
      </c>
    </row>
    <row r="5959" spans="1:4" x14ac:dyDescent="0.25">
      <c r="A5959" t="str">
        <f>T("   040210")</f>
        <v xml:space="preserve">   040210</v>
      </c>
      <c r="B5959" t="str">
        <f>T("   Lait et crème de lait, en poudre, en granulés ou sous d'autres formes solides, d'une teneur en poids de matières grasses &lt;= 1,5%")</f>
        <v xml:space="preserve">   Lait et crème de lait, en poudre, en granulés ou sous d'autres formes solides, d'une teneur en poids de matières grasses &lt;= 1,5%</v>
      </c>
      <c r="C5959">
        <v>35002026</v>
      </c>
      <c r="D5959">
        <v>15500</v>
      </c>
    </row>
    <row r="5960" spans="1:4" x14ac:dyDescent="0.25">
      <c r="A5960" t="str">
        <f>T("   040299")</f>
        <v xml:space="preserve">   040299</v>
      </c>
      <c r="B5960" t="str">
        <f>T("   Lait et crème de lait, concentrés, additionnés de sucre ou d'autres édulcorants (à l'excl. des laits et crèmes de lait en poudre, en granulés ou sous d'autres formes solides)")</f>
        <v xml:space="preserve">   Lait et crème de lait, concentrés, additionnés de sucre ou d'autres édulcorants (à l'excl. des laits et crèmes de lait en poudre, en granulés ou sous d'autres formes solides)</v>
      </c>
      <c r="C5960">
        <v>100184</v>
      </c>
      <c r="D5960">
        <v>50</v>
      </c>
    </row>
    <row r="5961" spans="1:4" x14ac:dyDescent="0.25">
      <c r="A5961" t="str">
        <f>T("   070190")</f>
        <v xml:space="preserve">   070190</v>
      </c>
      <c r="B5961" t="str">
        <f>T("   Pommes de terre, à l'état frais ou réfrigéré (à l'excl. des pommes de terre de semence)")</f>
        <v xml:space="preserve">   Pommes de terre, à l'état frais ou réfrigéré (à l'excl. des pommes de terre de semence)</v>
      </c>
      <c r="C5961">
        <v>37500050</v>
      </c>
      <c r="D5961">
        <v>250000</v>
      </c>
    </row>
    <row r="5962" spans="1:4" x14ac:dyDescent="0.25">
      <c r="A5962" t="str">
        <f>T("   070890")</f>
        <v xml:space="preserve">   070890</v>
      </c>
      <c r="B5962" t="str">
        <f>T("   Légumes à cosse, écossés ou non, à l'état frais ou réfrigéré (à l'excl. des pois 'Pisum sativum' et des haricots 'Vigna spp., Phaseolus spp.')")</f>
        <v xml:space="preserve">   Légumes à cosse, écossés ou non, à l'état frais ou réfrigéré (à l'excl. des pois 'Pisum sativum' et des haricots 'Vigna spp., Phaseolus spp.')</v>
      </c>
      <c r="C5962">
        <v>5172582</v>
      </c>
      <c r="D5962">
        <v>8611</v>
      </c>
    </row>
    <row r="5963" spans="1:4" x14ac:dyDescent="0.25">
      <c r="A5963" t="str">
        <f>T("   071340")</f>
        <v xml:space="preserve">   071340</v>
      </c>
      <c r="B5963" t="str">
        <f>T("   Lentilles, séchées, écossées, même décortiquées ou cassées")</f>
        <v xml:space="preserve">   Lentilles, séchées, écossées, même décortiquées ou cassées</v>
      </c>
      <c r="C5963">
        <v>2844398</v>
      </c>
      <c r="D5963">
        <v>2403</v>
      </c>
    </row>
    <row r="5964" spans="1:4" x14ac:dyDescent="0.25">
      <c r="A5964" t="str">
        <f>T("   071390")</f>
        <v xml:space="preserve">   071390</v>
      </c>
      <c r="B5964" t="str">
        <f>T("   Légumes à cosse secs, écossés, même décortiqués ou cassés (à l'excl. des pois, des pois chiches, des haricots, des lentilles, des fèves et des féveroles)")</f>
        <v xml:space="preserve">   Légumes à cosse secs, écossés, même décortiqués ou cassés (à l'excl. des pois, des pois chiches, des haricots, des lentilles, des fèves et des féveroles)</v>
      </c>
      <c r="C5964">
        <v>10218859</v>
      </c>
      <c r="D5964">
        <v>13014</v>
      </c>
    </row>
    <row r="5965" spans="1:4" x14ac:dyDescent="0.25">
      <c r="A5965" t="str">
        <f>T("   090210")</f>
        <v xml:space="preserve">   090210</v>
      </c>
      <c r="B5965" t="str">
        <f>T("   Thé vert [thé non fermenté], présenté en emballages immédiats d'un contenu &lt;= 3 kg")</f>
        <v xml:space="preserve">   Thé vert [thé non fermenté], présenté en emballages immédiats d'un contenu &lt;= 3 kg</v>
      </c>
      <c r="C5965">
        <v>1392684</v>
      </c>
      <c r="D5965">
        <v>2318</v>
      </c>
    </row>
    <row r="5966" spans="1:4" x14ac:dyDescent="0.25">
      <c r="A5966" t="str">
        <f>T("   090220")</f>
        <v xml:space="preserve">   090220</v>
      </c>
      <c r="B5966" t="str">
        <f>T("   Thé vert [thé non fermenté], présenté en emballages immédiats d'un contenu &gt; 3 kg")</f>
        <v xml:space="preserve">   Thé vert [thé non fermenté], présenté en emballages immédiats d'un contenu &gt; 3 kg</v>
      </c>
      <c r="C5966">
        <v>1453186</v>
      </c>
      <c r="D5966">
        <v>1063</v>
      </c>
    </row>
    <row r="5967" spans="1:4" x14ac:dyDescent="0.25">
      <c r="A5967" t="str">
        <f>T("   090230")</f>
        <v xml:space="preserve">   090230</v>
      </c>
      <c r="B5967" t="s">
        <v>25</v>
      </c>
      <c r="C5967">
        <v>1582275</v>
      </c>
      <c r="D5967">
        <v>1739</v>
      </c>
    </row>
    <row r="5968" spans="1:4" x14ac:dyDescent="0.25">
      <c r="A5968" t="str">
        <f>T("   100590")</f>
        <v xml:space="preserve">   100590</v>
      </c>
      <c r="B5968" t="str">
        <f>T("   Maïs (autre que de semence)")</f>
        <v xml:space="preserve">   Maïs (autre que de semence)</v>
      </c>
      <c r="C5968">
        <v>49759</v>
      </c>
      <c r="D5968">
        <v>83</v>
      </c>
    </row>
    <row r="5969" spans="1:4" x14ac:dyDescent="0.25">
      <c r="A5969" t="str">
        <f>T("   100630")</f>
        <v xml:space="preserve">   100630</v>
      </c>
      <c r="B5969" t="str">
        <f>T("   Riz semi-blanchi ou blanchi, même poli ou glacé")</f>
        <v xml:space="preserve">   Riz semi-blanchi ou blanchi, même poli ou glacé</v>
      </c>
      <c r="C5969">
        <v>2342520</v>
      </c>
      <c r="D5969">
        <v>2553</v>
      </c>
    </row>
    <row r="5970" spans="1:4" x14ac:dyDescent="0.25">
      <c r="A5970" t="str">
        <f>T("   110100")</f>
        <v xml:space="preserve">   110100</v>
      </c>
      <c r="B5970" t="str">
        <f>T("   Farines de froment [blé] ou de méteil")</f>
        <v xml:space="preserve">   Farines de froment [blé] ou de méteil</v>
      </c>
      <c r="C5970">
        <v>993676</v>
      </c>
      <c r="D5970">
        <v>1654</v>
      </c>
    </row>
    <row r="5971" spans="1:4" x14ac:dyDescent="0.25">
      <c r="A5971" t="str">
        <f>T("   110311")</f>
        <v xml:space="preserve">   110311</v>
      </c>
      <c r="B5971" t="str">
        <f>T("   Gruaux et semoules de froment [blé]")</f>
        <v xml:space="preserve">   Gruaux et semoules de froment [blé]</v>
      </c>
      <c r="C5971">
        <v>120619</v>
      </c>
      <c r="D5971">
        <v>201</v>
      </c>
    </row>
    <row r="5972" spans="1:4" x14ac:dyDescent="0.25">
      <c r="A5972" t="str">
        <f>T("   121190")</f>
        <v xml:space="preserve">   121190</v>
      </c>
      <c r="B5972" t="s">
        <v>31</v>
      </c>
      <c r="C5972">
        <v>1002663</v>
      </c>
      <c r="D5972">
        <v>1457</v>
      </c>
    </row>
    <row r="5973" spans="1:4" x14ac:dyDescent="0.25">
      <c r="A5973" t="str">
        <f>T("   130190")</f>
        <v xml:space="preserve">   130190</v>
      </c>
      <c r="B5973" t="str">
        <f>T("   Gommes, résines, gommes-résines, baumes et autres oléorésines, naturelles (à l'excl. de la gomme arabique)")</f>
        <v xml:space="preserve">   Gommes, résines, gommes-résines, baumes et autres oléorésines, naturelles (à l'excl. de la gomme arabique)</v>
      </c>
      <c r="C5973">
        <v>930586</v>
      </c>
      <c r="D5973">
        <v>786</v>
      </c>
    </row>
    <row r="5974" spans="1:4" x14ac:dyDescent="0.25">
      <c r="A5974" t="str">
        <f>T("   160250")</f>
        <v xml:space="preserve">   160250</v>
      </c>
      <c r="B5974" t="s">
        <v>42</v>
      </c>
      <c r="C5974">
        <v>133160</v>
      </c>
      <c r="D5974">
        <v>31.25</v>
      </c>
    </row>
    <row r="5975" spans="1:4" x14ac:dyDescent="0.25">
      <c r="A5975" t="str">
        <f>T("   160300")</f>
        <v xml:space="preserve">   160300</v>
      </c>
      <c r="B5975" t="str">
        <f>T("   Extraits et jus de viande, de poissons ou de crustacés, de mollusques ou d'autres invertébrés aquatiques")</f>
        <v xml:space="preserve">   Extraits et jus de viande, de poissons ou de crustacés, de mollusques ou d'autres invertébrés aquatiques</v>
      </c>
      <c r="C5975">
        <v>14577</v>
      </c>
      <c r="D5975">
        <v>10</v>
      </c>
    </row>
    <row r="5976" spans="1:4" x14ac:dyDescent="0.25">
      <c r="A5976" t="str">
        <f>T("   160413")</f>
        <v xml:space="preserve">   160413</v>
      </c>
      <c r="B5976" t="str">
        <f>T("   Préparations et conserves de sardines, sardinelles, sprats ou esprots, entiers ou en morceaux (à l'excl. des préparations et conserves de poissons hachés)")</f>
        <v xml:space="preserve">   Préparations et conserves de sardines, sardinelles, sprats ou esprots, entiers ou en morceaux (à l'excl. des préparations et conserves de poissons hachés)</v>
      </c>
      <c r="C5976">
        <v>258158</v>
      </c>
      <c r="D5976">
        <v>147</v>
      </c>
    </row>
    <row r="5977" spans="1:4" x14ac:dyDescent="0.25">
      <c r="A5977" t="str">
        <f>T("   160414")</f>
        <v xml:space="preserve">   160414</v>
      </c>
      <c r="B5977" t="str">
        <f>T("   Préparations et conserves de thons, de listaos et de bonites 'Sarda spp.', entiers ou en morceaux (à l'excl. des préparations et conserves de thons, de listaos et de bonites hachés)")</f>
        <v xml:space="preserve">   Préparations et conserves de thons, de listaos et de bonites 'Sarda spp.', entiers ou en morceaux (à l'excl. des préparations et conserves de thons, de listaos et de bonites hachés)</v>
      </c>
      <c r="C5977">
        <v>25582</v>
      </c>
      <c r="D5977">
        <v>60</v>
      </c>
    </row>
    <row r="5978" spans="1:4" x14ac:dyDescent="0.25">
      <c r="A5978" t="str">
        <f>T("   160419")</f>
        <v xml:space="preserve">   160419</v>
      </c>
      <c r="B5978" t="s">
        <v>44</v>
      </c>
      <c r="C5978">
        <v>36078</v>
      </c>
      <c r="D5978">
        <v>20</v>
      </c>
    </row>
    <row r="5979" spans="1:4" x14ac:dyDescent="0.25">
      <c r="A5979" t="str">
        <f>T("   160420")</f>
        <v xml:space="preserve">   160420</v>
      </c>
      <c r="B5979" t="str">
        <f>T("   Préparations et conserves de poissons (à l'excl. des préparations et conserves de poissons entiers ou en morceaux)")</f>
        <v xml:space="preserve">   Préparations et conserves de poissons (à l'excl. des préparations et conserves de poissons entiers ou en morceaux)</v>
      </c>
      <c r="C5979">
        <v>36078</v>
      </c>
      <c r="D5979">
        <v>2</v>
      </c>
    </row>
    <row r="5980" spans="1:4" x14ac:dyDescent="0.25">
      <c r="A5980" t="str">
        <f>T("   180610")</f>
        <v xml:space="preserve">   180610</v>
      </c>
      <c r="B5980" t="str">
        <f>T("   Poudre de cacao, additionnée de sucre ou d'autres édulcorants")</f>
        <v xml:space="preserve">   Poudre de cacao, additionnée de sucre ou d'autres édulcorants</v>
      </c>
      <c r="C5980">
        <v>60398</v>
      </c>
      <c r="D5980">
        <v>50</v>
      </c>
    </row>
    <row r="5981" spans="1:4" x14ac:dyDescent="0.25">
      <c r="A5981" t="str">
        <f>T("   180631")</f>
        <v xml:space="preserve">   180631</v>
      </c>
      <c r="B5981" t="str">
        <f>T("   Chocolat et autres préparations alimentaires contenant du cacao, présentés en tablettes, barres ou bâtons, d'un poids &lt;= 2 kg, fourrés")</f>
        <v xml:space="preserve">   Chocolat et autres préparations alimentaires contenant du cacao, présentés en tablettes, barres ou bâtons, d'un poids &lt;= 2 kg, fourrés</v>
      </c>
      <c r="C5981">
        <v>19349376</v>
      </c>
      <c r="D5981">
        <v>21998</v>
      </c>
    </row>
    <row r="5982" spans="1:4" x14ac:dyDescent="0.25">
      <c r="A5982" t="str">
        <f>T("   180690")</f>
        <v xml:space="preserve">   180690</v>
      </c>
      <c r="B5982" t="str">
        <f>T("   Chocolat et autres préparations alimentaires contenant du cacao, en récipients ou en emballages immédiats d'un contenu &lt;= 2 kg (à l'excl. de la poudre de cacao et des produits présentés en tablettes, barres ou bâtons)")</f>
        <v xml:space="preserve">   Chocolat et autres préparations alimentaires contenant du cacao, en récipients ou en emballages immédiats d'un contenu &lt;= 2 kg (à l'excl. de la poudre de cacao et des produits présentés en tablettes, barres ou bâtons)</v>
      </c>
      <c r="C5982">
        <v>20723677</v>
      </c>
      <c r="D5982">
        <v>24669</v>
      </c>
    </row>
    <row r="5983" spans="1:4" x14ac:dyDescent="0.25">
      <c r="A5983" t="str">
        <f>T("   190190")</f>
        <v xml:space="preserve">   190190</v>
      </c>
      <c r="B5983" t="s">
        <v>49</v>
      </c>
      <c r="C5983">
        <v>312697</v>
      </c>
      <c r="D5983">
        <v>255</v>
      </c>
    </row>
    <row r="5984" spans="1:4" x14ac:dyDescent="0.25">
      <c r="A5984" t="str">
        <f>T("   190410")</f>
        <v xml:space="preserve">   190410</v>
      </c>
      <c r="B5984" t="str">
        <f>T("   PRODUITS À BASE DE CÉRÉALES OBTENUS PAR SOUFFLAGE OU GRILLAGE [CORN FLAKES, P.EX.]")</f>
        <v xml:space="preserve">   PRODUITS À BASE DE CÉRÉALES OBTENUS PAR SOUFFLAGE OU GRILLAGE [CORN FLAKES, P.EX.]</v>
      </c>
      <c r="C5984">
        <v>2225056</v>
      </c>
      <c r="D5984">
        <v>1627</v>
      </c>
    </row>
    <row r="5985" spans="1:4" x14ac:dyDescent="0.25">
      <c r="A5985" t="str">
        <f>T("   190490")</f>
        <v xml:space="preserve">   190490</v>
      </c>
      <c r="B5985" t="s">
        <v>50</v>
      </c>
      <c r="C5985">
        <v>200724</v>
      </c>
      <c r="D5985">
        <v>200</v>
      </c>
    </row>
    <row r="5986" spans="1:4" x14ac:dyDescent="0.25">
      <c r="A5986" t="str">
        <f>T("   190590")</f>
        <v xml:space="preserve">   190590</v>
      </c>
      <c r="B5986" t="s">
        <v>51</v>
      </c>
      <c r="C5986">
        <v>13241015</v>
      </c>
      <c r="D5986">
        <v>14541</v>
      </c>
    </row>
    <row r="5987" spans="1:4" x14ac:dyDescent="0.25">
      <c r="A5987" t="str">
        <f>T("   200290")</f>
        <v xml:space="preserve">   200290</v>
      </c>
      <c r="B5987"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5987">
        <v>115152</v>
      </c>
      <c r="D5987">
        <v>55</v>
      </c>
    </row>
    <row r="5988" spans="1:4" x14ac:dyDescent="0.25">
      <c r="A5988" t="str">
        <f>T("   200520")</f>
        <v xml:space="preserve">   200520</v>
      </c>
      <c r="B5988" t="str">
        <f>T("   POMMES DE TERRE, PRÉPARÉES OU CONSERVÉES AUTREMENT QU'AU VINAIGRE OU À L'ACIDE ACÉTIQUE, NON-CONGELÉES")</f>
        <v xml:space="preserve">   POMMES DE TERRE, PRÉPARÉES OU CONSERVÉES AUTREMENT QU'AU VINAIGRE OU À L'ACIDE ACÉTIQUE, NON-CONGELÉES</v>
      </c>
      <c r="C5988">
        <v>1000990</v>
      </c>
      <c r="D5988">
        <v>732</v>
      </c>
    </row>
    <row r="5989" spans="1:4" x14ac:dyDescent="0.25">
      <c r="A5989" t="str">
        <f>T("   200799")</f>
        <v xml:space="preserve">   200799</v>
      </c>
      <c r="B5989" t="s">
        <v>54</v>
      </c>
      <c r="C5989">
        <v>1034778</v>
      </c>
      <c r="D5989">
        <v>739</v>
      </c>
    </row>
    <row r="5990" spans="1:4" x14ac:dyDescent="0.25">
      <c r="A5990" t="str">
        <f>T("   200980")</f>
        <v xml:space="preserve">   200980</v>
      </c>
      <c r="B5990"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5990">
        <v>15819</v>
      </c>
      <c r="D5990">
        <v>35</v>
      </c>
    </row>
    <row r="5991" spans="1:4" x14ac:dyDescent="0.25">
      <c r="A5991" t="str">
        <f>T("   200990")</f>
        <v xml:space="preserve">   200990</v>
      </c>
      <c r="B5991"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5991">
        <v>2590798</v>
      </c>
      <c r="D5991">
        <v>3566</v>
      </c>
    </row>
    <row r="5992" spans="1:4" x14ac:dyDescent="0.25">
      <c r="A5992" t="str">
        <f>T("   210111")</f>
        <v xml:space="preserve">   210111</v>
      </c>
      <c r="B5992" t="str">
        <f>T("   Extraits, essences et concentrés de café")</f>
        <v xml:space="preserve">   Extraits, essences et concentrés de café</v>
      </c>
      <c r="C5992">
        <v>614546</v>
      </c>
      <c r="D5992">
        <v>770</v>
      </c>
    </row>
    <row r="5993" spans="1:4" x14ac:dyDescent="0.25">
      <c r="A5993" t="str">
        <f>T("   210390")</f>
        <v xml:space="preserve">   210390</v>
      </c>
      <c r="B5993"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5993">
        <v>1533849</v>
      </c>
      <c r="D5993">
        <v>1121</v>
      </c>
    </row>
    <row r="5994" spans="1:4" x14ac:dyDescent="0.25">
      <c r="A5994" t="str">
        <f>T("   210410")</f>
        <v xml:space="preserve">   210410</v>
      </c>
      <c r="B5994" t="str">
        <f>T("   Préparations pour soupes, potages ou bouillons; soupes, potages ou bouillons préparés")</f>
        <v xml:space="preserve">   Préparations pour soupes, potages ou bouillons; soupes, potages ou bouillons préparés</v>
      </c>
      <c r="C5994">
        <v>51165</v>
      </c>
      <c r="D5994">
        <v>200</v>
      </c>
    </row>
    <row r="5995" spans="1:4" x14ac:dyDescent="0.25">
      <c r="A5995" t="str">
        <f>T("   210690")</f>
        <v xml:space="preserve">   210690</v>
      </c>
      <c r="B5995" t="str">
        <f>T("   Préparations alimentaires, n.d.a.")</f>
        <v xml:space="preserve">   Préparations alimentaires, n.d.a.</v>
      </c>
      <c r="C5995">
        <v>4737038</v>
      </c>
      <c r="D5995">
        <v>3463</v>
      </c>
    </row>
    <row r="5996" spans="1:4" x14ac:dyDescent="0.25">
      <c r="A5996" t="str">
        <f>T("   220210")</f>
        <v xml:space="preserve">   220210</v>
      </c>
      <c r="B5996"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5996">
        <v>8233313</v>
      </c>
      <c r="D5996">
        <v>8236</v>
      </c>
    </row>
    <row r="5997" spans="1:4" x14ac:dyDescent="0.25">
      <c r="A5997" t="str">
        <f>T("   220290")</f>
        <v xml:space="preserve">   220290</v>
      </c>
      <c r="B5997" t="str">
        <f>T("   BOISSONS NON-ALCOOLIQUES (À L'EXCL. DES EAUX, DES JUS DE FRUITS OU DE LÉGUMES AINSI QUE DU LAIT)")</f>
        <v xml:space="preserve">   BOISSONS NON-ALCOOLIQUES (À L'EXCL. DES EAUX, DES JUS DE FRUITS OU DE LÉGUMES AINSI QUE DU LAIT)</v>
      </c>
      <c r="C5997">
        <v>12287806</v>
      </c>
      <c r="D5997">
        <v>58515</v>
      </c>
    </row>
    <row r="5998" spans="1:4" x14ac:dyDescent="0.25">
      <c r="A5998" t="str">
        <f>T("   220300")</f>
        <v xml:space="preserve">   220300</v>
      </c>
      <c r="B5998" t="str">
        <f>T("   Bières de malt")</f>
        <v xml:space="preserve">   Bières de malt</v>
      </c>
      <c r="C5998">
        <v>615374</v>
      </c>
      <c r="D5998">
        <v>454</v>
      </c>
    </row>
    <row r="5999" spans="1:4" x14ac:dyDescent="0.25">
      <c r="A5999" t="str">
        <f>T("   220429")</f>
        <v xml:space="preserve">   220429</v>
      </c>
      <c r="B5999" t="str">
        <f>T("   VINS DE RAISINS FRAIS, Y.C. LES VINS ENRICHIS EN ALCOOL, ET MOÛTS DE RAISINS DONT LA FERMENTATION A ÉTÉ EMPÊCHÉE OU ARRÊTÉE PAR ADDITION D'ALCOOL, EN RÉCIPIENTS D'UNE CONTENANCE &gt; 2 L (À L'EXCL. DES VINS MOUSSEUX)")</f>
        <v xml:space="preserve">   VINS DE RAISINS FRAIS, Y.C. LES VINS ENRICHIS EN ALCOOL, ET MOÛTS DE RAISINS DONT LA FERMENTATION A ÉTÉ EMPÊCHÉE OU ARRÊTÉE PAR ADDITION D'ALCOOL, EN RÉCIPIENTS D'UNE CONTENANCE &gt; 2 L (À L'EXCL. DES VINS MOUSSEUX)</v>
      </c>
      <c r="C5999">
        <v>38978408</v>
      </c>
      <c r="D5999">
        <v>145171</v>
      </c>
    </row>
    <row r="6000" spans="1:4" x14ac:dyDescent="0.25">
      <c r="A6000" t="str">
        <f>T("   220830")</f>
        <v xml:space="preserve">   220830</v>
      </c>
      <c r="B6000" t="str">
        <f>T("   Whiskies")</f>
        <v xml:space="preserve">   Whiskies</v>
      </c>
      <c r="C6000">
        <v>31373291</v>
      </c>
      <c r="D6000">
        <v>31280</v>
      </c>
    </row>
    <row r="6001" spans="1:4" x14ac:dyDescent="0.25">
      <c r="A6001" t="str">
        <f>T("   220890")</f>
        <v xml:space="preserve">   220890</v>
      </c>
      <c r="B6001" t="s">
        <v>61</v>
      </c>
      <c r="C6001">
        <v>7952518</v>
      </c>
      <c r="D6001">
        <v>32796</v>
      </c>
    </row>
    <row r="6002" spans="1:4" x14ac:dyDescent="0.25">
      <c r="A6002" t="str">
        <f>T("   230910")</f>
        <v xml:space="preserve">   230910</v>
      </c>
      <c r="B6002" t="str">
        <f>T("   Aliments pour chiens ou chats, conditionnés pour la vente au détail")</f>
        <v xml:space="preserve">   Aliments pour chiens ou chats, conditionnés pour la vente au détail</v>
      </c>
      <c r="C6002">
        <v>800769</v>
      </c>
      <c r="D6002">
        <v>1142</v>
      </c>
    </row>
    <row r="6003" spans="1:4" x14ac:dyDescent="0.25">
      <c r="A6003" t="str">
        <f>T("   250100")</f>
        <v xml:space="preserve">   250100</v>
      </c>
      <c r="B6003" t="s">
        <v>63</v>
      </c>
      <c r="C6003">
        <v>755872</v>
      </c>
      <c r="D6003">
        <v>998</v>
      </c>
    </row>
    <row r="6004" spans="1:4" x14ac:dyDescent="0.25">
      <c r="A6004" t="str">
        <f>T("   271011")</f>
        <v xml:space="preserve">   271011</v>
      </c>
      <c r="B6004"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6004">
        <v>27494281</v>
      </c>
      <c r="D6004">
        <v>73894</v>
      </c>
    </row>
    <row r="6005" spans="1:4" x14ac:dyDescent="0.25">
      <c r="A6005" t="str">
        <f>T("   271019")</f>
        <v xml:space="preserve">   271019</v>
      </c>
      <c r="B6005" t="str">
        <f>T("   Huiles moyennes et préparations, de pétrole ou de minéraux bitumineux, n.d.a.")</f>
        <v xml:space="preserve">   Huiles moyennes et préparations, de pétrole ou de minéraux bitumineux, n.d.a.</v>
      </c>
      <c r="C6005">
        <v>9477917347</v>
      </c>
      <c r="D6005">
        <v>27545745</v>
      </c>
    </row>
    <row r="6006" spans="1:4" x14ac:dyDescent="0.25">
      <c r="A6006" t="str">
        <f>T("   280300")</f>
        <v xml:space="preserve">   280300</v>
      </c>
      <c r="B6006" t="str">
        <f>T("   Carbone [noirs de carbone et autres formes de carbone, n.d.a.]")</f>
        <v xml:space="preserve">   Carbone [noirs de carbone et autres formes de carbone, n.d.a.]</v>
      </c>
      <c r="C6006">
        <v>3166319</v>
      </c>
      <c r="D6006">
        <v>340</v>
      </c>
    </row>
    <row r="6007" spans="1:4" x14ac:dyDescent="0.25">
      <c r="A6007" t="str">
        <f>T("   282300")</f>
        <v xml:space="preserve">   282300</v>
      </c>
      <c r="B6007" t="str">
        <f>T("   Oxydes de titane")</f>
        <v xml:space="preserve">   Oxydes de titane</v>
      </c>
      <c r="C6007">
        <v>29613314</v>
      </c>
      <c r="D6007">
        <v>20000</v>
      </c>
    </row>
    <row r="6008" spans="1:4" x14ac:dyDescent="0.25">
      <c r="A6008" t="str">
        <f>T("   282810")</f>
        <v xml:space="preserve">   282810</v>
      </c>
      <c r="B6008" t="str">
        <f>T("   Hypochlorites de calcium, y.c. l'hypochlorite de calcium du commerce")</f>
        <v xml:space="preserve">   Hypochlorites de calcium, y.c. l'hypochlorite de calcium du commerce</v>
      </c>
      <c r="C6008">
        <v>40283160</v>
      </c>
      <c r="D6008">
        <v>35696</v>
      </c>
    </row>
    <row r="6009" spans="1:4" x14ac:dyDescent="0.25">
      <c r="A6009" t="str">
        <f>T("   283327")</f>
        <v xml:space="preserve">   283327</v>
      </c>
      <c r="B6009" t="str">
        <f>T("   SULFATE DE BARYUM")</f>
        <v xml:space="preserve">   SULFATE DE BARYUM</v>
      </c>
      <c r="C6009">
        <v>29416526</v>
      </c>
      <c r="D6009">
        <v>20000</v>
      </c>
    </row>
    <row r="6010" spans="1:4" x14ac:dyDescent="0.25">
      <c r="A6010" t="str">
        <f>T("   285100")</f>
        <v xml:space="preserve">   285100</v>
      </c>
      <c r="B6010" t="str">
        <f>T("   Composés inorganiques, y.c. les eaux distillées, de conductibilité ou de même degré de pureté, n.d.a.; air liquide, y.c. l'air liquide dont les gaz ont été éliminés; air comprimé; amalgames (autres que de métaux précieux)")</f>
        <v xml:space="preserve">   Composés inorganiques, y.c. les eaux distillées, de conductibilité ou de même degré de pureté, n.d.a.; air liquide, y.c. l'air liquide dont les gaz ont été éliminés; air comprimé; amalgames (autres que de métaux précieux)</v>
      </c>
      <c r="C6010">
        <v>35851375</v>
      </c>
      <c r="D6010">
        <v>49040</v>
      </c>
    </row>
    <row r="6011" spans="1:4" x14ac:dyDescent="0.25">
      <c r="A6011" t="str">
        <f>T("   290713")</f>
        <v xml:space="preserve">   290713</v>
      </c>
      <c r="B6011" t="str">
        <f>T("   Octylphénol, nonylphénol et leurs isomères; sels de ces produits")</f>
        <v xml:space="preserve">   Octylphénol, nonylphénol et leurs isomères; sels de ces produits</v>
      </c>
      <c r="C6011">
        <v>12729559</v>
      </c>
      <c r="D6011">
        <v>6576</v>
      </c>
    </row>
    <row r="6012" spans="1:4" x14ac:dyDescent="0.25">
      <c r="A6012" t="str">
        <f>T("   291413")</f>
        <v xml:space="preserve">   291413</v>
      </c>
      <c r="B6012" t="str">
        <f>T("   4-Méthylpentane-2-one [méthylisobutylcétone]")</f>
        <v xml:space="preserve">   4-Méthylpentane-2-one [méthylisobutylcétone]</v>
      </c>
      <c r="C6012">
        <v>3431982</v>
      </c>
      <c r="D6012">
        <v>6120</v>
      </c>
    </row>
    <row r="6013" spans="1:4" x14ac:dyDescent="0.25">
      <c r="A6013" t="str">
        <f>T("   292800")</f>
        <v xml:space="preserve">   292800</v>
      </c>
      <c r="B6013" t="str">
        <f>T("   Dérivés organiques de l'hydrazine ou de l'hydroxylamine")</f>
        <v xml:space="preserve">   Dérivés organiques de l'hydrazine ou de l'hydroxylamine</v>
      </c>
      <c r="C6013">
        <v>2404093</v>
      </c>
      <c r="D6013">
        <v>1140</v>
      </c>
    </row>
    <row r="6014" spans="1:4" x14ac:dyDescent="0.25">
      <c r="A6014" t="str">
        <f>T("   300490")</f>
        <v xml:space="preserve">   300490</v>
      </c>
      <c r="B6014" t="s">
        <v>80</v>
      </c>
      <c r="C6014">
        <v>114909878</v>
      </c>
      <c r="D6014">
        <v>27672</v>
      </c>
    </row>
    <row r="6015" spans="1:4" x14ac:dyDescent="0.25">
      <c r="A6015" t="str">
        <f>T("   300510")</f>
        <v xml:space="preserve">   300510</v>
      </c>
      <c r="B6015" t="str">
        <f>T("   Pansements adhésifs et autres articles ayant une couche adhésive, imprégnés ou recouverts de substances pharmaceutiques ou conditionnés pour la vente au détail à des fins médicales, chirurgicales, dentaires ou vétérinaires")</f>
        <v xml:space="preserve">   Pansements adhésifs et autres articles ayant une couche adhésive, imprégnés ou recouverts de substances pharmaceutiques ou conditionnés pour la vente au détail à des fins médicales, chirurgicales, dentaires ou vétérinaires</v>
      </c>
      <c r="C6015">
        <v>1657959</v>
      </c>
      <c r="D6015">
        <v>240</v>
      </c>
    </row>
    <row r="6016" spans="1:4" x14ac:dyDescent="0.25">
      <c r="A6016" t="str">
        <f>T("   300620")</f>
        <v xml:space="preserve">   300620</v>
      </c>
      <c r="B6016" t="str">
        <f>T("   Réactifs destinés à la détermination des groupes ou des facteurs sanguins")</f>
        <v xml:space="preserve">   Réactifs destinés à la détermination des groupes ou des facteurs sanguins</v>
      </c>
      <c r="C6016">
        <v>7733067</v>
      </c>
      <c r="D6016">
        <v>1214</v>
      </c>
    </row>
    <row r="6017" spans="1:4" x14ac:dyDescent="0.25">
      <c r="A6017" t="str">
        <f>T("   320417")</f>
        <v xml:space="preserve">   320417</v>
      </c>
      <c r="B6017" t="s">
        <v>90</v>
      </c>
      <c r="C6017">
        <v>2506423</v>
      </c>
      <c r="D6017">
        <v>375</v>
      </c>
    </row>
    <row r="6018" spans="1:4" x14ac:dyDescent="0.25">
      <c r="A6018" t="str">
        <f>T("   320490")</f>
        <v xml:space="preserve">   320490</v>
      </c>
      <c r="B6018" t="str">
        <f>T("   Produits organiques synthétiques des types utilisés comme luminophores, même de constitution chimique définie")</f>
        <v xml:space="preserve">   Produits organiques synthétiques des types utilisés comme luminophores, même de constitution chimique définie</v>
      </c>
      <c r="C6018">
        <v>2930173</v>
      </c>
      <c r="D6018">
        <v>255</v>
      </c>
    </row>
    <row r="6019" spans="1:4" x14ac:dyDescent="0.25">
      <c r="A6019" t="str">
        <f>T("   320620")</f>
        <v xml:space="preserve">   320620</v>
      </c>
      <c r="B6019" t="s">
        <v>94</v>
      </c>
      <c r="C6019">
        <v>12766950</v>
      </c>
      <c r="D6019">
        <v>4000</v>
      </c>
    </row>
    <row r="6020" spans="1:4" x14ac:dyDescent="0.25">
      <c r="A6020" t="str">
        <f>T("   320649")</f>
        <v xml:space="preserve">   320649</v>
      </c>
      <c r="B6020" t="s">
        <v>95</v>
      </c>
      <c r="C6020">
        <v>3629426</v>
      </c>
      <c r="D6020">
        <v>1100</v>
      </c>
    </row>
    <row r="6021" spans="1:4" x14ac:dyDescent="0.25">
      <c r="A6021" t="str">
        <f>T("   320990")</f>
        <v xml:space="preserve">   320990</v>
      </c>
      <c r="B6021" t="str">
        <f>T("   Peintures et vernis à base de polymères synthétiques ou de polymères naturels modifiés, dispersés ou dissous dans un milieu aqueux (à l'excl. des produits à base de polymères acryliques ou vinyliques)")</f>
        <v xml:space="preserve">   Peintures et vernis à base de polymères synthétiques ou de polymères naturels modifiés, dispersés ou dissous dans un milieu aqueux (à l'excl. des produits à base de polymères acryliques ou vinyliques)</v>
      </c>
      <c r="C6021">
        <v>4757634</v>
      </c>
      <c r="D6021">
        <v>9000</v>
      </c>
    </row>
    <row r="6022" spans="1:4" x14ac:dyDescent="0.25">
      <c r="A6022" t="str">
        <f>T("   321100")</f>
        <v xml:space="preserve">   321100</v>
      </c>
      <c r="B6022" t="str">
        <f>T("   Siccatifs préparés")</f>
        <v xml:space="preserve">   Siccatifs préparés</v>
      </c>
      <c r="C6022">
        <v>5130920</v>
      </c>
      <c r="D6022">
        <v>2576</v>
      </c>
    </row>
    <row r="6023" spans="1:4" x14ac:dyDescent="0.25">
      <c r="A6023" t="str">
        <f>T("   330210")</f>
        <v xml:space="preserve">   330210</v>
      </c>
      <c r="B6023" t="str">
        <f>T("   Mélanges de substances odoriférantes et mélanges, y.c. les solutions alcooliques, à base d'une ou de plusieurs de ces substances, des types utilisés comme matières de base pour les industries des produits alimentaires et des boissons")</f>
        <v xml:space="preserve">   Mélanges de substances odoriférantes et mélanges, y.c. les solutions alcooliques, à base d'une ou de plusieurs de ces substances, des types utilisés comme matières de base pour les industries des produits alimentaires et des boissons</v>
      </c>
      <c r="C6023">
        <v>3078361</v>
      </c>
      <c r="D6023">
        <v>5878</v>
      </c>
    </row>
    <row r="6024" spans="1:4" x14ac:dyDescent="0.25">
      <c r="A6024" t="str">
        <f>T("   330510")</f>
        <v xml:space="preserve">   330510</v>
      </c>
      <c r="B6024" t="str">
        <f>T("   Shampooings")</f>
        <v xml:space="preserve">   Shampooings</v>
      </c>
      <c r="C6024">
        <v>325115</v>
      </c>
      <c r="D6024">
        <v>275</v>
      </c>
    </row>
    <row r="6025" spans="1:4" x14ac:dyDescent="0.25">
      <c r="A6025" t="str">
        <f>T("   330749")</f>
        <v xml:space="preserve">   330749</v>
      </c>
      <c r="B6025" t="str">
        <f>T("   Préparations pour parfumer ou pour désodoriser les locaux, y.c. les préparations odoriférantes pour cérémonies religieuses (à l'excl. de l'agarbatti et des autres préparations odoriférantes agissant par combustion)")</f>
        <v xml:space="preserve">   Préparations pour parfumer ou pour désodoriser les locaux, y.c. les préparations odoriférantes pour cérémonies religieuses (à l'excl. de l'agarbatti et des autres préparations odoriférantes agissant par combustion)</v>
      </c>
      <c r="C6025">
        <v>2340084</v>
      </c>
      <c r="D6025">
        <v>3222</v>
      </c>
    </row>
    <row r="6026" spans="1:4" x14ac:dyDescent="0.25">
      <c r="A6026" t="str">
        <f>T("   340120")</f>
        <v xml:space="preserve">   340120</v>
      </c>
      <c r="B6026" t="str">
        <f>T("   Savons en flocons, en paillettes, en granulés ou en poudres et savons liquides ou pâteux")</f>
        <v xml:space="preserve">   Savons en flocons, en paillettes, en granulés ou en poudres et savons liquides ou pâteux</v>
      </c>
      <c r="C6026">
        <v>50291</v>
      </c>
      <c r="D6026">
        <v>115</v>
      </c>
    </row>
    <row r="6027" spans="1:4" x14ac:dyDescent="0.25">
      <c r="A6027" t="str">
        <f>T("   350520")</f>
        <v xml:space="preserve">   350520</v>
      </c>
      <c r="B6027" t="str">
        <f>T("   Colles à base d'amidons ou de fécules, de dextrine ou d'autres amidons ou fécules modifiés (à l'excl. des produits conditionnés pour la vente au détail comme colles et d'un poids net &lt;= 1 kg)")</f>
        <v xml:space="preserve">   Colles à base d'amidons ou de fécules, de dextrine ou d'autres amidons ou fécules modifiés (à l'excl. des produits conditionnés pour la vente au détail comme colles et d'un poids net &lt;= 1 kg)</v>
      </c>
      <c r="C6027">
        <v>3358751</v>
      </c>
      <c r="D6027">
        <v>1500</v>
      </c>
    </row>
    <row r="6028" spans="1:4" x14ac:dyDescent="0.25">
      <c r="A6028" t="str">
        <f>T("   380820")</f>
        <v xml:space="preserve">   380820</v>
      </c>
      <c r="B6028" t="str">
        <f>T("   Fongicides présentés dans des formes ou emballages de vente au détail ou à l'état de préparations ou sous forme d'articles")</f>
        <v xml:space="preserve">   Fongicides présentés dans des formes ou emballages de vente au détail ou à l'état de préparations ou sous forme d'articles</v>
      </c>
      <c r="C6028">
        <v>3885250</v>
      </c>
      <c r="D6028">
        <v>960</v>
      </c>
    </row>
    <row r="6029" spans="1:4" x14ac:dyDescent="0.25">
      <c r="A6029" t="str">
        <f>T("   380890")</f>
        <v xml:space="preserve">   380890</v>
      </c>
      <c r="B6029" t="str">
        <f>T("   Antirongeurs et autres produits phytosanitaires, présentés dans des formes ou emballages de vente au détail ou à l'état de préparations ou sous forme d'articles (à l'excl. des insecticides, des fongicides, des herbicides et des désinfectants)")</f>
        <v xml:space="preserve">   Antirongeurs et autres produits phytosanitaires, présentés dans des formes ou emballages de vente au détail ou à l'état de préparations ou sous forme d'articles (à l'excl. des insecticides, des fongicides, des herbicides et des désinfectants)</v>
      </c>
      <c r="C6029">
        <v>4516285</v>
      </c>
      <c r="D6029">
        <v>2705</v>
      </c>
    </row>
    <row r="6030" spans="1:4" x14ac:dyDescent="0.25">
      <c r="A6030" t="str">
        <f>T("   381400")</f>
        <v xml:space="preserve">   381400</v>
      </c>
      <c r="B6030" t="str">
        <f>T("   Solvants et diluants organiques composites, n.d.a.; préparations conçues pour enlever les peintures ou les vernis (à l'excl. des dissolvants pour vernis à ongles)")</f>
        <v xml:space="preserve">   Solvants et diluants organiques composites, n.d.a.; préparations conçues pour enlever les peintures ou les vernis (à l'excl. des dissolvants pour vernis à ongles)</v>
      </c>
      <c r="C6030">
        <v>36963024</v>
      </c>
      <c r="D6030">
        <v>66532</v>
      </c>
    </row>
    <row r="6031" spans="1:4" x14ac:dyDescent="0.25">
      <c r="A6031" t="str">
        <f>T("   382490")</f>
        <v xml:space="preserve">   382490</v>
      </c>
      <c r="B6031" t="str">
        <f>T("   Produits chimiques et préparations des industries chimiques ou des industries connexes, y.c. celles consistant en mélanges de produits naturels, n.d.a.")</f>
        <v xml:space="preserve">   Produits chimiques et préparations des industries chimiques ou des industries connexes, y.c. celles consistant en mélanges de produits naturels, n.d.a.</v>
      </c>
      <c r="C6031">
        <v>4422483</v>
      </c>
      <c r="D6031">
        <v>3156</v>
      </c>
    </row>
    <row r="6032" spans="1:4" x14ac:dyDescent="0.25">
      <c r="A6032" t="str">
        <f>T("   390390")</f>
        <v xml:space="preserve">   390390</v>
      </c>
      <c r="B6032" t="str">
        <f>T("   Polymères du styrène, sous formes primaires (à l'excl. du polystyrène ainsi que des copolymères de styrène-acrylonitrile [SAN] ou d'acrylonitrile-butadiène-styrène [ABS])")</f>
        <v xml:space="preserve">   Polymères du styrène, sous formes primaires (à l'excl. du polystyrène ainsi que des copolymères de styrène-acrylonitrile [SAN] ou d'acrylonitrile-butadiène-styrène [ABS])</v>
      </c>
      <c r="C6032">
        <v>7165707</v>
      </c>
      <c r="D6032">
        <v>3776</v>
      </c>
    </row>
    <row r="6033" spans="1:4" x14ac:dyDescent="0.25">
      <c r="A6033" t="str">
        <f>T("   390690")</f>
        <v xml:space="preserve">   390690</v>
      </c>
      <c r="B6033" t="str">
        <f>T("   Polymères acryliques, sous formes primaires (à l'excl. du poly[méthacrylate de méthyle])")</f>
        <v xml:space="preserve">   Polymères acryliques, sous formes primaires (à l'excl. du poly[méthacrylate de méthyle])</v>
      </c>
      <c r="C6033">
        <v>9176225</v>
      </c>
      <c r="D6033">
        <v>8000</v>
      </c>
    </row>
    <row r="6034" spans="1:4" x14ac:dyDescent="0.25">
      <c r="A6034" t="str">
        <f>T("   390720")</f>
        <v xml:space="preserve">   390720</v>
      </c>
      <c r="B6034" t="str">
        <f>T("   Polyéthers, sous formes primaires (à l'excl. des polyacétals)")</f>
        <v xml:space="preserve">   Polyéthers, sous formes primaires (à l'excl. des polyacétals)</v>
      </c>
      <c r="C6034">
        <v>34911766</v>
      </c>
      <c r="D6034">
        <v>33600</v>
      </c>
    </row>
    <row r="6035" spans="1:4" x14ac:dyDescent="0.25">
      <c r="A6035" t="str">
        <f>T("   390730")</f>
        <v xml:space="preserve">   390730</v>
      </c>
      <c r="B6035" t="str">
        <f>T("   Résines époxydes, sous formes primaires")</f>
        <v xml:space="preserve">   Résines époxydes, sous formes primaires</v>
      </c>
      <c r="C6035">
        <v>1172857</v>
      </c>
      <c r="D6035">
        <v>440</v>
      </c>
    </row>
    <row r="6036" spans="1:4" x14ac:dyDescent="0.25">
      <c r="A6036" t="str">
        <f>T("   390750")</f>
        <v xml:space="preserve">   390750</v>
      </c>
      <c r="B6036" t="str">
        <f>T("   Résines alkydes, sous formes primaires")</f>
        <v xml:space="preserve">   Résines alkydes, sous formes primaires</v>
      </c>
      <c r="C6036">
        <v>79722440</v>
      </c>
      <c r="D6036">
        <v>91500</v>
      </c>
    </row>
    <row r="6037" spans="1:4" x14ac:dyDescent="0.25">
      <c r="A6037" t="str">
        <f>T("   390799")</f>
        <v xml:space="preserve">   390799</v>
      </c>
      <c r="B6037" t="str">
        <f>T("   POLYESTERS, SATURÉS, SOUS FORMES PRIMAIRES (À L'EXCL. DES POLYCARBONATES, DES RÉSINES ALKYDES ET DU POLY[ÉTHYLÈNE TÉRÉPHTALATE]) [01/01/1988-31/12/1993: POLYESTERS ALLYLIQUES ET AUTRES POLYESTERS, SATURÉS, SOUS FORMES PRIMAIRES]")</f>
        <v xml:space="preserve">   POLYESTERS, SATURÉS, SOUS FORMES PRIMAIRES (À L'EXCL. DES POLYCARBONATES, DES RÉSINES ALKYDES ET DU POLY[ÉTHYLÈNE TÉRÉPHTALATE]) [01/01/1988-31/12/1993: POLYESTERS ALLYLIQUES ET AUTRES POLYESTERS, SATURÉS, SOUS FORMES PRIMAIRES]</v>
      </c>
      <c r="C6037">
        <v>16605628</v>
      </c>
      <c r="D6037">
        <v>15200</v>
      </c>
    </row>
    <row r="6038" spans="1:4" x14ac:dyDescent="0.25">
      <c r="A6038" t="str">
        <f>T("   390950")</f>
        <v xml:space="preserve">   390950</v>
      </c>
      <c r="B6038" t="str">
        <f>T("   Polyuréthannes, sous formes primaires")</f>
        <v xml:space="preserve">   Polyuréthannes, sous formes primaires</v>
      </c>
      <c r="C6038">
        <v>31934593</v>
      </c>
      <c r="D6038">
        <v>21046</v>
      </c>
    </row>
    <row r="6039" spans="1:4" x14ac:dyDescent="0.25">
      <c r="A6039" t="str">
        <f>T("   392329")</f>
        <v xml:space="preserve">   392329</v>
      </c>
      <c r="B6039" t="str">
        <f>T("   Sacs, sachets, pochettes et cornets, en matières plastiques (autres que les polymères de l'éthylène)")</f>
        <v xml:space="preserve">   Sacs, sachets, pochettes et cornets, en matières plastiques (autres que les polymères de l'éthylène)</v>
      </c>
      <c r="C6039">
        <v>707736</v>
      </c>
      <c r="D6039">
        <v>470</v>
      </c>
    </row>
    <row r="6040" spans="1:4" x14ac:dyDescent="0.25">
      <c r="A6040" t="str">
        <f>T("   392410")</f>
        <v xml:space="preserve">   392410</v>
      </c>
      <c r="B6040" t="str">
        <f>T("   Vaisselle et autres articles pour le service de la table ou de la cuisine, en matières plastiques")</f>
        <v xml:space="preserve">   Vaisselle et autres articles pour le service de la table ou de la cuisine, en matières plastiques</v>
      </c>
      <c r="C6040">
        <v>3515438</v>
      </c>
      <c r="D6040">
        <v>380</v>
      </c>
    </row>
    <row r="6041" spans="1:4" x14ac:dyDescent="0.25">
      <c r="A6041" t="str">
        <f>T("   392490")</f>
        <v xml:space="preserve">   392490</v>
      </c>
      <c r="B6041" t="s">
        <v>151</v>
      </c>
      <c r="C6041">
        <v>270465</v>
      </c>
      <c r="D6041">
        <v>39</v>
      </c>
    </row>
    <row r="6042" spans="1:4" x14ac:dyDescent="0.25">
      <c r="A6042" t="str">
        <f>T("   392610")</f>
        <v xml:space="preserve">   392610</v>
      </c>
      <c r="B6042" t="str">
        <f>T("   Articles de bureau et articles scolaires, en matières plastiques, n.d.a.")</f>
        <v xml:space="preserve">   Articles de bureau et articles scolaires, en matières plastiques, n.d.a.</v>
      </c>
      <c r="C6042">
        <v>250000</v>
      </c>
      <c r="D6042">
        <v>2455</v>
      </c>
    </row>
    <row r="6043" spans="1:4" x14ac:dyDescent="0.25">
      <c r="A6043" t="str">
        <f>T("   392690")</f>
        <v xml:space="preserve">   392690</v>
      </c>
      <c r="B6043" t="str">
        <f>T("   Ouvrages en matières plastiques et ouvrages en autres matières du n° 3901 à 3914, n.d.a.")</f>
        <v xml:space="preserve">   Ouvrages en matières plastiques et ouvrages en autres matières du n° 3901 à 3914, n.d.a.</v>
      </c>
      <c r="C6043">
        <v>474216</v>
      </c>
      <c r="D6043">
        <v>2636</v>
      </c>
    </row>
    <row r="6044" spans="1:4" x14ac:dyDescent="0.25">
      <c r="A6044" t="str">
        <f>T("   400911")</f>
        <v xml:space="preserve">   400911</v>
      </c>
      <c r="B6044" t="str">
        <f>T("   Tubes et tuyaux en caoutchouc vulcanisé non durci, non renforcés à l'aide d'autres matières ni autrement associés à d'autres matières, sans accessoires")</f>
        <v xml:space="preserve">   Tubes et tuyaux en caoutchouc vulcanisé non durci, non renforcés à l'aide d'autres matières ni autrement associés à d'autres matières, sans accessoires</v>
      </c>
      <c r="C6044">
        <v>2226663</v>
      </c>
      <c r="D6044">
        <v>146</v>
      </c>
    </row>
    <row r="6045" spans="1:4" x14ac:dyDescent="0.25">
      <c r="A6045" t="str">
        <f>T("   401039")</f>
        <v xml:space="preserve">   401039</v>
      </c>
      <c r="B6045" t="s">
        <v>157</v>
      </c>
      <c r="C6045">
        <v>75088</v>
      </c>
      <c r="D6045">
        <v>5</v>
      </c>
    </row>
    <row r="6046" spans="1:4" x14ac:dyDescent="0.25">
      <c r="A6046" t="str">
        <f>T("   401220")</f>
        <v xml:space="preserve">   401220</v>
      </c>
      <c r="B6046" t="str">
        <f>T("   Pneumatiques usagés, en caoutchouc")</f>
        <v xml:space="preserve">   Pneumatiques usagés, en caoutchouc</v>
      </c>
      <c r="C6046">
        <v>31056582</v>
      </c>
      <c r="D6046">
        <v>90680</v>
      </c>
    </row>
    <row r="6047" spans="1:4" x14ac:dyDescent="0.25">
      <c r="A6047" t="str">
        <f>T("   401310")</f>
        <v xml:space="preserve">   401310</v>
      </c>
      <c r="B6047" t="str">
        <f>T("   Chambres à air, en caoutchouc, des types utilisés pour les voitures de tourisme [y.c. les voitures du type 'break' et les voitures de course], les autobus ou les camions")</f>
        <v xml:space="preserve">   Chambres à air, en caoutchouc, des types utilisés pour les voitures de tourisme [y.c. les voitures du type 'break' et les voitures de course], les autobus ou les camions</v>
      </c>
      <c r="C6047">
        <v>329948</v>
      </c>
      <c r="D6047">
        <v>440</v>
      </c>
    </row>
    <row r="6048" spans="1:4" x14ac:dyDescent="0.25">
      <c r="A6048" t="str">
        <f>T("   420219")</f>
        <v xml:space="preserve">   420219</v>
      </c>
      <c r="B6048" t="s">
        <v>162</v>
      </c>
      <c r="C6048">
        <v>6079625</v>
      </c>
      <c r="D6048">
        <v>9735</v>
      </c>
    </row>
    <row r="6049" spans="1:4" x14ac:dyDescent="0.25">
      <c r="A6049" t="str">
        <f>T("   420229")</f>
        <v xml:space="preserve">   420229</v>
      </c>
      <c r="B6049"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6049">
        <v>7585604</v>
      </c>
      <c r="D6049">
        <v>10288</v>
      </c>
    </row>
    <row r="6050" spans="1:4" x14ac:dyDescent="0.25">
      <c r="A6050" t="str">
        <f>T("   420299")</f>
        <v xml:space="preserve">   420299</v>
      </c>
      <c r="B6050" t="s">
        <v>165</v>
      </c>
      <c r="C6050">
        <v>80531</v>
      </c>
      <c r="D6050">
        <v>152</v>
      </c>
    </row>
    <row r="6051" spans="1:4" x14ac:dyDescent="0.25">
      <c r="A6051" t="str">
        <f>T("   420330")</f>
        <v xml:space="preserve">   420330</v>
      </c>
      <c r="B6051" t="str">
        <f>T("   Ceintures, ceinturons et baudriers, en cuir naturel ou reconstitué")</f>
        <v xml:space="preserve">   Ceintures, ceinturons et baudriers, en cuir naturel ou reconstitué</v>
      </c>
      <c r="C6051">
        <v>133816</v>
      </c>
      <c r="D6051">
        <v>190</v>
      </c>
    </row>
    <row r="6052" spans="1:4" x14ac:dyDescent="0.25">
      <c r="A6052" t="str">
        <f>T("   441810")</f>
        <v xml:space="preserve">   441810</v>
      </c>
      <c r="B6052" t="str">
        <f>T("   Fenêtres, portes-fenêtres et leurs cadres et chambranles, en bois")</f>
        <v xml:space="preserve">   Fenêtres, portes-fenêtres et leurs cadres et chambranles, en bois</v>
      </c>
      <c r="C6052">
        <v>65598</v>
      </c>
      <c r="D6052">
        <v>108</v>
      </c>
    </row>
    <row r="6053" spans="1:4" x14ac:dyDescent="0.25">
      <c r="A6053" t="str">
        <f>T("   480257")</f>
        <v xml:space="preserve">   480257</v>
      </c>
      <c r="B6053" t="s">
        <v>195</v>
      </c>
      <c r="C6053">
        <v>69115310</v>
      </c>
      <c r="D6053">
        <v>159879</v>
      </c>
    </row>
    <row r="6054" spans="1:4" x14ac:dyDescent="0.25">
      <c r="A6054" t="str">
        <f>T("   480258")</f>
        <v xml:space="preserve">   480258</v>
      </c>
      <c r="B6054" t="s">
        <v>196</v>
      </c>
      <c r="C6054">
        <v>35781012</v>
      </c>
      <c r="D6054">
        <v>79958</v>
      </c>
    </row>
    <row r="6055" spans="1:4" x14ac:dyDescent="0.25">
      <c r="A6055" t="str">
        <f>T("   480439")</f>
        <v xml:space="preserve">   480439</v>
      </c>
      <c r="B6055" t="s">
        <v>200</v>
      </c>
      <c r="C6055">
        <v>10322655</v>
      </c>
      <c r="D6055">
        <v>16428</v>
      </c>
    </row>
    <row r="6056" spans="1:4" x14ac:dyDescent="0.25">
      <c r="A6056" t="str">
        <f>T("   491000")</f>
        <v xml:space="preserve">   491000</v>
      </c>
      <c r="B6056" t="str">
        <f>T("   Calendriers de tous genres, imprimés, y.c. les blocs de calendriers à effeuiller")</f>
        <v xml:space="preserve">   Calendriers de tous genres, imprimés, y.c. les blocs de calendriers à effeuiller</v>
      </c>
      <c r="C6056">
        <v>79463</v>
      </c>
      <c r="D6056">
        <v>32</v>
      </c>
    </row>
    <row r="6057" spans="1:4" x14ac:dyDescent="0.25">
      <c r="A6057" t="str">
        <f>T("   491199")</f>
        <v xml:space="preserve">   491199</v>
      </c>
      <c r="B6057" t="str">
        <f>T("   Imprimés, n.d.a.")</f>
        <v xml:space="preserve">   Imprimés, n.d.a.</v>
      </c>
      <c r="C6057">
        <v>24633962</v>
      </c>
      <c r="D6057">
        <v>2781</v>
      </c>
    </row>
    <row r="6058" spans="1:4" x14ac:dyDescent="0.25">
      <c r="A6058" t="str">
        <f>T("   520852")</f>
        <v xml:space="preserve">   520852</v>
      </c>
      <c r="B6058" t="str">
        <f>T("   Tissus de coton, imprimés, à armure toile, contenant &gt;= 85% en poids de coton, d'un poids &gt; 100 g/m² mais &lt;= 200 g/m²")</f>
        <v xml:space="preserve">   Tissus de coton, imprimés, à armure toile, contenant &gt;= 85% en poids de coton, d'un poids &gt; 100 g/m² mais &lt;= 200 g/m²</v>
      </c>
      <c r="C6058">
        <v>17000000</v>
      </c>
      <c r="D6058">
        <v>18800</v>
      </c>
    </row>
    <row r="6059" spans="1:4" x14ac:dyDescent="0.25">
      <c r="A6059" t="str">
        <f>T("   610510")</f>
        <v xml:space="preserve">   610510</v>
      </c>
      <c r="B6059" t="str">
        <f>T("   Chemises et chemisettes, en bonneterie, de coton, pour hommes ou garçonnets (sauf chemises de nuit, T-shirts et maillots de corps)")</f>
        <v xml:space="preserve">   Chemises et chemisettes, en bonneterie, de coton, pour hommes ou garçonnets (sauf chemises de nuit, T-shirts et maillots de corps)</v>
      </c>
      <c r="C6059">
        <v>4906665</v>
      </c>
      <c r="D6059">
        <v>307</v>
      </c>
    </row>
    <row r="6060" spans="1:4" x14ac:dyDescent="0.25">
      <c r="A6060" t="str">
        <f>T("   610590")</f>
        <v xml:space="preserve">   610590</v>
      </c>
      <c r="B6060" t="str">
        <f>T("   Chemises et chemisettes, en bonneterie, de matières textiles, pour hommes ou garçonnets (sauf de coton, fibres synthétiques ou artificielles et sauf chemises de nuit, T-shirts et maillots de corps)")</f>
        <v xml:space="preserve">   Chemises et chemisettes, en bonneterie, de matières textiles, pour hommes ou garçonnets (sauf de coton, fibres synthétiques ou artificielles et sauf chemises de nuit, T-shirts et maillots de corps)</v>
      </c>
      <c r="C6060">
        <v>46018</v>
      </c>
      <c r="D6060">
        <v>150</v>
      </c>
    </row>
    <row r="6061" spans="1:4" x14ac:dyDescent="0.25">
      <c r="A6061" t="str">
        <f>T("   620319")</f>
        <v xml:space="preserve">   620319</v>
      </c>
      <c r="B6061" t="s">
        <v>265</v>
      </c>
      <c r="C6061">
        <v>88706</v>
      </c>
      <c r="D6061">
        <v>170</v>
      </c>
    </row>
    <row r="6062" spans="1:4" x14ac:dyDescent="0.25">
      <c r="A6062" t="str">
        <f>T("   620329")</f>
        <v xml:space="preserve">   620329</v>
      </c>
      <c r="B6062" t="str">
        <f>T("   ENSEMBLES DE MATIÈRES TEXTILES, POUR HOMMES OU GARÇONNETS (AUTRES QUE DE COTON OU FIBRES SYNTHÉTIQUES, AUTRES QU'EN BONNETERIE ET SAUF ENSEMBLES DE SKI ET MAILLOTS, CULOTTES ET SLIPS DE BAIN)")</f>
        <v xml:space="preserve">   ENSEMBLES DE MATIÈRES TEXTILES, POUR HOMMES OU GARÇONNETS (AUTRES QUE DE COTON OU FIBRES SYNTHÉTIQUES, AUTRES QU'EN BONNETERIE ET SAUF ENSEMBLES DE SKI ET MAILLOTS, CULOTTES ET SLIPS DE BAIN)</v>
      </c>
      <c r="C6062">
        <v>169363</v>
      </c>
      <c r="D6062">
        <v>118</v>
      </c>
    </row>
    <row r="6063" spans="1:4" x14ac:dyDescent="0.25">
      <c r="A6063" t="str">
        <f>T("   620339")</f>
        <v xml:space="preserve">   620339</v>
      </c>
      <c r="B6063" t="str">
        <f>T("   Vestons de matières textiles, pour hommes ou garçonnets (autres que laine, poils fins, coton ou fibres synthétiques, autres qu'en bonneterie et sauf anoraks et articles simil.)")</f>
        <v xml:space="preserve">   Vestons de matières textiles, pour hommes ou garçonnets (autres que laine, poils fins, coton ou fibres synthétiques, autres qu'en bonneterie et sauf anoraks et articles simil.)</v>
      </c>
      <c r="C6063">
        <v>62972</v>
      </c>
      <c r="D6063">
        <v>40</v>
      </c>
    </row>
    <row r="6064" spans="1:4" x14ac:dyDescent="0.25">
      <c r="A6064" t="str">
        <f>T("   620349")</f>
        <v xml:space="preserve">   620349</v>
      </c>
      <c r="B6064" t="s">
        <v>266</v>
      </c>
      <c r="C6064">
        <v>168991</v>
      </c>
      <c r="D6064">
        <v>92</v>
      </c>
    </row>
    <row r="6065" spans="1:4" x14ac:dyDescent="0.25">
      <c r="A6065" t="str">
        <f>T("   620590")</f>
        <v xml:space="preserve">   620590</v>
      </c>
      <c r="B6065"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6065">
        <v>8229822</v>
      </c>
      <c r="D6065">
        <v>4828</v>
      </c>
    </row>
    <row r="6066" spans="1:4" x14ac:dyDescent="0.25">
      <c r="A6066" t="str">
        <f>T("   620690")</f>
        <v xml:space="preserve">   620690</v>
      </c>
      <c r="B6066" t="s">
        <v>268</v>
      </c>
      <c r="C6066">
        <v>50331</v>
      </c>
      <c r="D6066">
        <v>93</v>
      </c>
    </row>
    <row r="6067" spans="1:4" x14ac:dyDescent="0.25">
      <c r="A6067" t="str">
        <f>T("   621040")</f>
        <v xml:space="preserve">   621040</v>
      </c>
      <c r="B6067" t="s">
        <v>271</v>
      </c>
      <c r="C6067">
        <v>1108041</v>
      </c>
      <c r="D6067">
        <v>14543</v>
      </c>
    </row>
    <row r="6068" spans="1:4" x14ac:dyDescent="0.25">
      <c r="A6068" t="str">
        <f>T("   621111")</f>
        <v xml:space="preserve">   621111</v>
      </c>
      <c r="B6068" t="str">
        <f>T("   Maillots, culottes et slips de bain, pour hommes ou garçonnets (autres qu'en bonneterie)")</f>
        <v xml:space="preserve">   Maillots, culottes et slips de bain, pour hommes ou garçonnets (autres qu'en bonneterie)</v>
      </c>
      <c r="C6068">
        <v>98394</v>
      </c>
      <c r="D6068">
        <v>500</v>
      </c>
    </row>
    <row r="6069" spans="1:4" x14ac:dyDescent="0.25">
      <c r="A6069" t="str">
        <f>T("   630240")</f>
        <v xml:space="preserve">   630240</v>
      </c>
      <c r="B6069" t="str">
        <f>T("   LINGE DE TABLE EN BONNETERIE")</f>
        <v xml:space="preserve">   LINGE DE TABLE EN BONNETERIE</v>
      </c>
      <c r="C6069">
        <v>80203</v>
      </c>
      <c r="D6069">
        <v>10</v>
      </c>
    </row>
    <row r="6070" spans="1:4" x14ac:dyDescent="0.25">
      <c r="A6070" t="str">
        <f>T("   630539")</f>
        <v xml:space="preserve">   630539</v>
      </c>
      <c r="B6070" t="str">
        <f>T("   Sacs et sachets d'emballage de matières synthétiques ou artificielles (autres qu'en lames ou formes simil. de polyéthylène ou de polypropylène ainsi que contenants souples pour matières en vrac)")</f>
        <v xml:space="preserve">   Sacs et sachets d'emballage de matières synthétiques ou artificielles (autres qu'en lames ou formes simil. de polyéthylène ou de polypropylène ainsi que contenants souples pour matières en vrac)</v>
      </c>
      <c r="C6070">
        <v>8747</v>
      </c>
      <c r="D6070">
        <v>6</v>
      </c>
    </row>
    <row r="6071" spans="1:4" x14ac:dyDescent="0.25">
      <c r="A6071" t="str">
        <f>T("   630900")</f>
        <v xml:space="preserve">   630900</v>
      </c>
      <c r="B6071" t="s">
        <v>278</v>
      </c>
      <c r="C6071">
        <v>10205499104</v>
      </c>
      <c r="D6071">
        <v>19486319.5</v>
      </c>
    </row>
    <row r="6072" spans="1:4" x14ac:dyDescent="0.25">
      <c r="A6072" t="str">
        <f>T("   640590")</f>
        <v xml:space="preserve">   640590</v>
      </c>
      <c r="B6072" t="s">
        <v>289</v>
      </c>
      <c r="C6072">
        <v>117307020</v>
      </c>
      <c r="D6072">
        <v>134117</v>
      </c>
    </row>
    <row r="6073" spans="1:4" x14ac:dyDescent="0.25">
      <c r="A6073" t="str">
        <f>T("   691200")</f>
        <v xml:space="preserve">   691200</v>
      </c>
      <c r="B6073" t="s">
        <v>316</v>
      </c>
      <c r="C6073">
        <v>538090</v>
      </c>
      <c r="D6073">
        <v>131</v>
      </c>
    </row>
    <row r="6074" spans="1:4" x14ac:dyDescent="0.25">
      <c r="A6074" t="str">
        <f>T("   700992")</f>
        <v xml:space="preserve">   700992</v>
      </c>
      <c r="B6074" t="str">
        <f>T("   Miroirs, en verre encadrés (sauf miroirs rétroviseurs pour véhicules)")</f>
        <v xml:space="preserve">   Miroirs, en verre encadrés (sauf miroirs rétroviseurs pour véhicules)</v>
      </c>
      <c r="C6074">
        <v>439636</v>
      </c>
      <c r="D6074">
        <v>30</v>
      </c>
    </row>
    <row r="6075" spans="1:4" x14ac:dyDescent="0.25">
      <c r="A6075" t="str">
        <f>T("   701329")</f>
        <v xml:space="preserve">   701329</v>
      </c>
      <c r="B6075" t="str">
        <f>T("   Verres à boire (autres qu'en vitrocérame, autres qu'en cristal au plomb)")</f>
        <v xml:space="preserve">   Verres à boire (autres qu'en vitrocérame, autres qu'en cristal au plomb)</v>
      </c>
      <c r="C6075">
        <v>1211327</v>
      </c>
      <c r="D6075">
        <v>471</v>
      </c>
    </row>
    <row r="6076" spans="1:4" x14ac:dyDescent="0.25">
      <c r="A6076" t="str">
        <f>T("   701399")</f>
        <v xml:space="preserve">   701399</v>
      </c>
      <c r="B6076" t="s">
        <v>332</v>
      </c>
      <c r="C6076">
        <v>159398</v>
      </c>
      <c r="D6076">
        <v>185</v>
      </c>
    </row>
    <row r="6077" spans="1:4" x14ac:dyDescent="0.25">
      <c r="A6077" t="str">
        <f>T("   722910")</f>
        <v xml:space="preserve">   722910</v>
      </c>
      <c r="B6077" t="str">
        <f>T("   Fils en aciers à coupe rapide, en couronnes ou en rouleaux (sauf fil machine)")</f>
        <v xml:space="preserve">   Fils en aciers à coupe rapide, en couronnes ou en rouleaux (sauf fil machine)</v>
      </c>
      <c r="C6077">
        <v>24926</v>
      </c>
      <c r="D6077">
        <v>10</v>
      </c>
    </row>
    <row r="6078" spans="1:4" x14ac:dyDescent="0.25">
      <c r="A6078" t="str">
        <f>T("   731100")</f>
        <v xml:space="preserve">   731100</v>
      </c>
      <c r="B6078" t="str">
        <f>T("   Récipients en fonte, fer ou acier, pour gaz comprimés ou liquéfiés (autres que conteneurs spécialement conçus ou équipés pour un ou plusieurs moyens de transport)")</f>
        <v xml:space="preserve">   Récipients en fonte, fer ou acier, pour gaz comprimés ou liquéfiés (autres que conteneurs spécialement conçus ou équipés pour un ou plusieurs moyens de transport)</v>
      </c>
      <c r="C6078">
        <v>15995591</v>
      </c>
      <c r="D6078">
        <v>306</v>
      </c>
    </row>
    <row r="6079" spans="1:4" x14ac:dyDescent="0.25">
      <c r="A6079" t="str">
        <f>T("   731815")</f>
        <v xml:space="preserve">   731815</v>
      </c>
      <c r="B6079" t="s">
        <v>359</v>
      </c>
      <c r="C6079">
        <v>1347342</v>
      </c>
      <c r="D6079">
        <v>47</v>
      </c>
    </row>
    <row r="6080" spans="1:4" x14ac:dyDescent="0.25">
      <c r="A6080" t="str">
        <f>T("   732111")</f>
        <v xml:space="preserve">   732111</v>
      </c>
      <c r="B6080" t="s">
        <v>361</v>
      </c>
      <c r="C6080">
        <v>3417534</v>
      </c>
      <c r="D6080">
        <v>1909</v>
      </c>
    </row>
    <row r="6081" spans="1:4" x14ac:dyDescent="0.25">
      <c r="A6081" t="str">
        <f>T("   732399")</f>
        <v xml:space="preserve">   732399</v>
      </c>
      <c r="B6081" t="s">
        <v>368</v>
      </c>
      <c r="C6081">
        <v>2930594</v>
      </c>
      <c r="D6081">
        <v>7065</v>
      </c>
    </row>
    <row r="6082" spans="1:4" x14ac:dyDescent="0.25">
      <c r="A6082" t="str">
        <f>T("   732620")</f>
        <v xml:space="preserve">   732620</v>
      </c>
      <c r="B6082" t="str">
        <f>T("   Ouvrages en fil de fer ou d'acier, n.d.a.")</f>
        <v xml:space="preserve">   Ouvrages en fil de fer ou d'acier, n.d.a.</v>
      </c>
      <c r="C6082">
        <v>11662</v>
      </c>
      <c r="D6082">
        <v>12</v>
      </c>
    </row>
    <row r="6083" spans="1:4" x14ac:dyDescent="0.25">
      <c r="A6083" t="str">
        <f>T("   740819")</f>
        <v xml:space="preserve">   740819</v>
      </c>
      <c r="B6083" t="str">
        <f>T("   Fils de cuivre affiné, plus grande dimension de la section transversale &lt;= 6 mm")</f>
        <v xml:space="preserve">   Fils de cuivre affiné, plus grande dimension de la section transversale &lt;= 6 mm</v>
      </c>
      <c r="C6083">
        <v>17579728</v>
      </c>
      <c r="D6083">
        <v>20700</v>
      </c>
    </row>
    <row r="6084" spans="1:4" x14ac:dyDescent="0.25">
      <c r="A6084" t="str">
        <f>T("   761519")</f>
        <v xml:space="preserve">   761519</v>
      </c>
      <c r="B6084" t="s">
        <v>373</v>
      </c>
      <c r="C6084">
        <v>950183</v>
      </c>
      <c r="D6084">
        <v>1409</v>
      </c>
    </row>
    <row r="6085" spans="1:4" x14ac:dyDescent="0.25">
      <c r="A6085" t="str">
        <f>T("   820510")</f>
        <v xml:space="preserve">   820510</v>
      </c>
      <c r="B6085" t="str">
        <f>T("   Outils de perçage, de filetage ou de taraudage, maniés à la main")</f>
        <v xml:space="preserve">   Outils de perçage, de filetage ou de taraudage, maniés à la main</v>
      </c>
      <c r="C6085">
        <v>100362</v>
      </c>
      <c r="D6085">
        <v>200</v>
      </c>
    </row>
    <row r="6086" spans="1:4" x14ac:dyDescent="0.25">
      <c r="A6086" t="str">
        <f>T("   830300")</f>
        <v xml:space="preserve">   830300</v>
      </c>
      <c r="B6086" t="str">
        <f>T("   Coffres-forts, portes blindées et compartiments pour chambres fortes, coffres et cassettes de sûreté et articles simil., en métaux communs")</f>
        <v xml:space="preserve">   Coffres-forts, portes blindées et compartiments pour chambres fortes, coffres et cassettes de sûreté et articles simil., en métaux communs</v>
      </c>
      <c r="C6086">
        <v>100362</v>
      </c>
      <c r="D6086">
        <v>20</v>
      </c>
    </row>
    <row r="6087" spans="1:4" x14ac:dyDescent="0.25">
      <c r="A6087" t="str">
        <f>T("   830990")</f>
        <v xml:space="preserve">   830990</v>
      </c>
      <c r="B6087" t="str">
        <f>T("   Bouchons [y.c. les bouchons à pas de vis et les bouchons-verseurs], couvercles, capsules pour bouteilles, bondes filetées, plaques de bondes, scellés et autres accessoires d'emballage, en métaux communs (à l'excl. des bouchons-couronnes)")</f>
        <v xml:space="preserve">   Bouchons [y.c. les bouchons à pas de vis et les bouchons-verseurs], couvercles, capsules pour bouteilles, bondes filetées, plaques de bondes, scellés et autres accessoires d'emballage, en métaux communs (à l'excl. des bouchons-couronnes)</v>
      </c>
      <c r="C6087">
        <v>4988427</v>
      </c>
      <c r="D6087">
        <v>150</v>
      </c>
    </row>
    <row r="6088" spans="1:4" x14ac:dyDescent="0.25">
      <c r="A6088" t="str">
        <f>T("   841430")</f>
        <v xml:space="preserve">   841430</v>
      </c>
      <c r="B6088" t="str">
        <f>T("   Compresseurs des types utilisés pour équipements frigorifiques")</f>
        <v xml:space="preserve">   Compresseurs des types utilisés pour équipements frigorifiques</v>
      </c>
      <c r="C6088">
        <v>919305</v>
      </c>
      <c r="D6088">
        <v>1671</v>
      </c>
    </row>
    <row r="6089" spans="1:4" x14ac:dyDescent="0.25">
      <c r="A6089" t="str">
        <f>T("   841451")</f>
        <v xml:space="preserve">   841451</v>
      </c>
      <c r="B6089" t="str">
        <f>T("   Ventilateurs de table, de sol, muraux, plafonniers, de toitures ou de fenêtres, à moteur électrique incorporé, d'une puissance &lt;= 125 W")</f>
        <v xml:space="preserve">   Ventilateurs de table, de sol, muraux, plafonniers, de toitures ou de fenêtres, à moteur électrique incorporé, d'une puissance &lt;= 125 W</v>
      </c>
      <c r="C6089">
        <v>5486657</v>
      </c>
      <c r="D6089">
        <v>3574</v>
      </c>
    </row>
    <row r="6090" spans="1:4" x14ac:dyDescent="0.25">
      <c r="A6090" t="str">
        <f>T("   841459")</f>
        <v xml:space="preserve">   841459</v>
      </c>
      <c r="B6090" t="str">
        <f>T("   Ventilateurs (sauf ventilateurs de table, de sol, muraux, plafonniers, de toitures ou de fenêtres, à moteur électrique incorporé, d'une puissance &lt;= 125 W)")</f>
        <v xml:space="preserve">   Ventilateurs (sauf ventilateurs de table, de sol, muraux, plafonniers, de toitures ou de fenêtres, à moteur électrique incorporé, d'une puissance &lt;= 125 W)</v>
      </c>
      <c r="C6090">
        <v>37861085</v>
      </c>
      <c r="D6090">
        <v>27216</v>
      </c>
    </row>
    <row r="6091" spans="1:4" x14ac:dyDescent="0.25">
      <c r="A6091" t="str">
        <f>T("   841490")</f>
        <v xml:space="preserve">   841490</v>
      </c>
      <c r="B6091" t="str">
        <f>T("   Parties de pompes à air ou à vide, de compresseurs d'air ou d'autres gaz et de ventilateurs, de hottes aspirantes à extraction ou à recyclage, à ventilateur incorporé, n.d.a.")</f>
        <v xml:space="preserve">   Parties de pompes à air ou à vide, de compresseurs d'air ou d'autres gaz et de ventilateurs, de hottes aspirantes à extraction ou à recyclage, à ventilateur incorporé, n.d.a.</v>
      </c>
      <c r="C6091">
        <v>93555</v>
      </c>
      <c r="D6091">
        <v>61</v>
      </c>
    </row>
    <row r="6092" spans="1:4" x14ac:dyDescent="0.25">
      <c r="A6092" t="str">
        <f>T("   841510")</f>
        <v xml:space="preserve">   841510</v>
      </c>
      <c r="B6092" t="s">
        <v>399</v>
      </c>
      <c r="C6092">
        <v>14518095</v>
      </c>
      <c r="D6092">
        <v>9472</v>
      </c>
    </row>
    <row r="6093" spans="1:4" x14ac:dyDescent="0.25">
      <c r="A6093" t="str">
        <f>T("   841582")</f>
        <v xml:space="preserve">   841582</v>
      </c>
      <c r="B6093" t="s">
        <v>401</v>
      </c>
      <c r="C6093">
        <v>6324951</v>
      </c>
      <c r="D6093">
        <v>2571</v>
      </c>
    </row>
    <row r="6094" spans="1:4" x14ac:dyDescent="0.25">
      <c r="A6094" t="str">
        <f>T("   841710")</f>
        <v xml:space="preserve">   841710</v>
      </c>
      <c r="B6094" t="str">
        <f>T("   Fours industriels ou de laboratoire, non-électriques, pour le grillage, la fusion ou autres traitements thermiques des minerais, de la pyrite ou des métaux (à l'excl. des étuves)")</f>
        <v xml:space="preserve">   Fours industriels ou de laboratoire, non-électriques, pour le grillage, la fusion ou autres traitements thermiques des minerais, de la pyrite ou des métaux (à l'excl. des étuves)</v>
      </c>
      <c r="C6094">
        <v>100362</v>
      </c>
      <c r="D6094">
        <v>5</v>
      </c>
    </row>
    <row r="6095" spans="1:4" x14ac:dyDescent="0.25">
      <c r="A6095" t="str">
        <f>T("   841810")</f>
        <v xml:space="preserve">   841810</v>
      </c>
      <c r="B6095" t="str">
        <f>T("   Réfrigérateurs et congélateurs-conservateurs combinés, avec portes extérieures séparées")</f>
        <v xml:space="preserve">   Réfrigérateurs et congélateurs-conservateurs combinés, avec portes extérieures séparées</v>
      </c>
      <c r="C6095">
        <v>21618048</v>
      </c>
      <c r="D6095">
        <v>47013</v>
      </c>
    </row>
    <row r="6096" spans="1:4" x14ac:dyDescent="0.25">
      <c r="A6096" t="str">
        <f>T("   841821")</f>
        <v xml:space="preserve">   841821</v>
      </c>
      <c r="B6096" t="str">
        <f>T("   Réfrigérateurs ménagers à compression")</f>
        <v xml:space="preserve">   Réfrigérateurs ménagers à compression</v>
      </c>
      <c r="C6096">
        <v>200724</v>
      </c>
      <c r="D6096">
        <v>275</v>
      </c>
    </row>
    <row r="6097" spans="1:4" x14ac:dyDescent="0.25">
      <c r="A6097" t="str">
        <f>T("   841822")</f>
        <v xml:space="preserve">   841822</v>
      </c>
      <c r="B6097" t="str">
        <f>T("   Réfrigérateurs ménagers à absorption, électriques")</f>
        <v xml:space="preserve">   Réfrigérateurs ménagers à absorption, électriques</v>
      </c>
      <c r="C6097">
        <v>1436945</v>
      </c>
      <c r="D6097">
        <v>4970</v>
      </c>
    </row>
    <row r="6098" spans="1:4" x14ac:dyDescent="0.25">
      <c r="A6098" t="str">
        <f>T("   841829")</f>
        <v xml:space="preserve">   841829</v>
      </c>
      <c r="B6098" t="str">
        <f>T("   Réfrigérateurs ménagers à absorption, non-électriques")</f>
        <v xml:space="preserve">   Réfrigérateurs ménagers à absorption, non-électriques</v>
      </c>
      <c r="C6098">
        <v>97161231</v>
      </c>
      <c r="D6098">
        <v>138874</v>
      </c>
    </row>
    <row r="6099" spans="1:4" x14ac:dyDescent="0.25">
      <c r="A6099" t="str">
        <f>T("   841840")</f>
        <v xml:space="preserve">   841840</v>
      </c>
      <c r="B6099" t="str">
        <f>T("   Meubles congélateurs-conservateurs du type armoire, capacité &lt;= 900 l")</f>
        <v xml:space="preserve">   Meubles congélateurs-conservateurs du type armoire, capacité &lt;= 900 l</v>
      </c>
      <c r="C6099">
        <v>530367</v>
      </c>
      <c r="D6099">
        <v>216</v>
      </c>
    </row>
    <row r="6100" spans="1:4" x14ac:dyDescent="0.25">
      <c r="A6100" t="str">
        <f>T("   841869")</f>
        <v xml:space="preserve">   841869</v>
      </c>
      <c r="B6100" t="str">
        <f>T("   Matériel, machines et appareils pour la production du froid ainsi que pompes à chaleur à absorption (autres que réfrigérateurs et meubles congélateurs-conservateurs)")</f>
        <v xml:space="preserve">   Matériel, machines et appareils pour la production du froid ainsi que pompes à chaleur à absorption (autres que réfrigérateurs et meubles congélateurs-conservateurs)</v>
      </c>
      <c r="C6100">
        <v>399438</v>
      </c>
      <c r="D6100">
        <v>179</v>
      </c>
    </row>
    <row r="6101" spans="1:4" x14ac:dyDescent="0.25">
      <c r="A6101" t="str">
        <f>T("   842219")</f>
        <v xml:space="preserve">   842219</v>
      </c>
      <c r="B6101" t="str">
        <f>T("   Machines à laver la vaisselle (autres que de type ménager)")</f>
        <v xml:space="preserve">   Machines à laver la vaisselle (autres que de type ménager)</v>
      </c>
      <c r="C6101">
        <v>100362</v>
      </c>
      <c r="D6101">
        <v>100</v>
      </c>
    </row>
    <row r="6102" spans="1:4" x14ac:dyDescent="0.25">
      <c r="A6102" t="str">
        <f>T("   842481")</f>
        <v xml:space="preserve">   842481</v>
      </c>
      <c r="B6102" t="str">
        <f>T("   Machines et appareils mécaniques, même à main, à projeter, disperser ou pulvériser des matières liquides ou en poudre, pour l'agriculture ou l'horticulture")</f>
        <v xml:space="preserve">   Machines et appareils mécaniques, même à main, à projeter, disperser ou pulvériser des matières liquides ou en poudre, pour l'agriculture ou l'horticulture</v>
      </c>
      <c r="C6102">
        <v>20019414</v>
      </c>
      <c r="D6102">
        <v>1825</v>
      </c>
    </row>
    <row r="6103" spans="1:4" x14ac:dyDescent="0.25">
      <c r="A6103" t="str">
        <f>T("   842720")</f>
        <v xml:space="preserve">   842720</v>
      </c>
      <c r="B6103" t="str">
        <f>T("   Chariots de manutention autopropulsés, autres qu'à moteur électrique, avec dispositif de levage")</f>
        <v xml:space="preserve">   Chariots de manutention autopropulsés, autres qu'à moteur électrique, avec dispositif de levage</v>
      </c>
      <c r="C6103">
        <v>12350710</v>
      </c>
      <c r="D6103">
        <v>7000</v>
      </c>
    </row>
    <row r="6104" spans="1:4" x14ac:dyDescent="0.25">
      <c r="A6104" t="str">
        <f>T("   842959")</f>
        <v xml:space="preserve">   842959</v>
      </c>
      <c r="B6104"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6104">
        <v>3410992</v>
      </c>
      <c r="D6104">
        <v>5140</v>
      </c>
    </row>
    <row r="6105" spans="1:4" x14ac:dyDescent="0.25">
      <c r="A6105" t="str">
        <f>T("   843120")</f>
        <v xml:space="preserve">   843120</v>
      </c>
      <c r="B6105" t="str">
        <f>T("   Parties de chariots-gerbeurs et autres chariots de manutention munis d'un dispositif de levage, n.d.a.")</f>
        <v xml:space="preserve">   Parties de chariots-gerbeurs et autres chariots de manutention munis d'un dispositif de levage, n.d.a.</v>
      </c>
      <c r="C6105">
        <v>23560283</v>
      </c>
      <c r="D6105">
        <v>535.85</v>
      </c>
    </row>
    <row r="6106" spans="1:4" x14ac:dyDescent="0.25">
      <c r="A6106" t="str">
        <f>T("   843149")</f>
        <v xml:space="preserve">   843149</v>
      </c>
      <c r="B6106" t="str">
        <f>T("   Parties de machines et appareils du n° 8426, 8429 ou 8430, n.d.a.")</f>
        <v xml:space="preserve">   Parties de machines et appareils du n° 8426, 8429 ou 8430, n.d.a.</v>
      </c>
      <c r="C6106">
        <v>388984</v>
      </c>
      <c r="D6106">
        <v>14</v>
      </c>
    </row>
    <row r="6107" spans="1:4" x14ac:dyDescent="0.25">
      <c r="A6107" t="str">
        <f>T("   845011")</f>
        <v xml:space="preserve">   845011</v>
      </c>
      <c r="B6107" t="str">
        <f>T("   Machines à laver le linge entièrement automatiques, d'une capacité unitaire exprimée en poids de linge sec &lt;= 6 kg")</f>
        <v xml:space="preserve">   Machines à laver le linge entièrement automatiques, d'une capacité unitaire exprimée en poids de linge sec &lt;= 6 kg</v>
      </c>
      <c r="C6107">
        <v>853452</v>
      </c>
      <c r="D6107">
        <v>393</v>
      </c>
    </row>
    <row r="6108" spans="1:4" x14ac:dyDescent="0.25">
      <c r="A6108" t="str">
        <f>T("   845019")</f>
        <v xml:space="preserve">   845019</v>
      </c>
      <c r="B6108" t="str">
        <f>T("   Machines à laver le linge d'une capacité unitaire exprimée en poids de linge sec &lt;= 6 kg (à l'excl. des machines entièrement automatiques et des machines à laver le linge avec essoreuse centrifuge incorporée)")</f>
        <v xml:space="preserve">   Machines à laver le linge d'une capacité unitaire exprimée en poids de linge sec &lt;= 6 kg (à l'excl. des machines entièrement automatiques et des machines à laver le linge avec essoreuse centrifuge incorporée)</v>
      </c>
      <c r="C6108">
        <v>3504630</v>
      </c>
      <c r="D6108">
        <v>2515</v>
      </c>
    </row>
    <row r="6109" spans="1:4" x14ac:dyDescent="0.25">
      <c r="A6109" t="str">
        <f>T("   845090")</f>
        <v xml:space="preserve">   845090</v>
      </c>
      <c r="B6109" t="str">
        <f>T("   Parties de machines à laver le linge, n.d.a.")</f>
        <v xml:space="preserve">   Parties de machines à laver le linge, n.d.a.</v>
      </c>
      <c r="C6109">
        <v>81250</v>
      </c>
      <c r="D6109">
        <v>38</v>
      </c>
    </row>
    <row r="6110" spans="1:4" x14ac:dyDescent="0.25">
      <c r="A6110" t="str">
        <f>T("   845180")</f>
        <v xml:space="preserve">   845180</v>
      </c>
      <c r="B6110" t="s">
        <v>426</v>
      </c>
      <c r="C6110">
        <v>1000339</v>
      </c>
      <c r="D6110">
        <v>2000</v>
      </c>
    </row>
    <row r="6111" spans="1:4" x14ac:dyDescent="0.25">
      <c r="A6111" t="str">
        <f>T("   845210")</f>
        <v xml:space="preserve">   845210</v>
      </c>
      <c r="B6111" t="str">
        <f>T("   Machines à coudre de type ménager")</f>
        <v xml:space="preserve">   Machines à coudre de type ménager</v>
      </c>
      <c r="C6111">
        <v>207284</v>
      </c>
      <c r="D6111">
        <v>205</v>
      </c>
    </row>
    <row r="6112" spans="1:4" x14ac:dyDescent="0.25">
      <c r="A6112" t="str">
        <f>T("   845229")</f>
        <v xml:space="preserve">   845229</v>
      </c>
      <c r="B6112" t="str">
        <f>T("   Machines à coudre de type industriel (sauf unités automatiques)")</f>
        <v xml:space="preserve">   Machines à coudre de type industriel (sauf unités automatiques)</v>
      </c>
      <c r="C6112">
        <v>60348</v>
      </c>
      <c r="D6112">
        <v>60</v>
      </c>
    </row>
    <row r="6113" spans="1:4" x14ac:dyDescent="0.25">
      <c r="A6113" t="str">
        <f>T("   847050")</f>
        <v xml:space="preserve">   847050</v>
      </c>
      <c r="B6113" t="str">
        <f>T("   Caisses enregistreuses comportant un dispositif de calcul")</f>
        <v xml:space="preserve">   Caisses enregistreuses comportant un dispositif de calcul</v>
      </c>
      <c r="C6113">
        <v>948371</v>
      </c>
      <c r="D6113">
        <v>437</v>
      </c>
    </row>
    <row r="6114" spans="1:4" x14ac:dyDescent="0.25">
      <c r="A6114" t="str">
        <f>T("   847110")</f>
        <v xml:space="preserve">   847110</v>
      </c>
      <c r="B6114" t="str">
        <f>T("   Machines automatiques de traitement de l'information, analogiques ou hybrides")</f>
        <v xml:space="preserve">   Machines automatiques de traitement de l'information, analogiques ou hybrides</v>
      </c>
      <c r="C6114">
        <v>5552072</v>
      </c>
      <c r="D6114">
        <v>5790</v>
      </c>
    </row>
    <row r="6115" spans="1:4" x14ac:dyDescent="0.25">
      <c r="A6115" t="str">
        <f>T("   847141")</f>
        <v xml:space="preserve">   847141</v>
      </c>
      <c r="B6115" t="s">
        <v>436</v>
      </c>
      <c r="C6115">
        <v>8191718</v>
      </c>
      <c r="D6115">
        <v>18668</v>
      </c>
    </row>
    <row r="6116" spans="1:4" x14ac:dyDescent="0.25">
      <c r="A6116" t="str">
        <f>T("   847150")</f>
        <v xml:space="preserve">   847150</v>
      </c>
      <c r="B6116" t="s">
        <v>438</v>
      </c>
      <c r="C6116">
        <v>22256408</v>
      </c>
      <c r="D6116">
        <v>94</v>
      </c>
    </row>
    <row r="6117" spans="1:4" x14ac:dyDescent="0.25">
      <c r="A6117" t="str">
        <f>T("   847160")</f>
        <v xml:space="preserve">   847160</v>
      </c>
      <c r="B6117" t="str">
        <f>T("   UNITÉS D'ENTRÉE OU DE SORTIE POUR MACHINES AUTOMATIQUES DE TRAITEMENT DE L'INFORMATION, POUVANT COMPORTER, SOUS LA MÊME ENVELOPPE, DES UNITÉS DE MÉMOIRE")</f>
        <v xml:space="preserve">   UNITÉS D'ENTRÉE OU DE SORTIE POUR MACHINES AUTOMATIQUES DE TRAITEMENT DE L'INFORMATION, POUVANT COMPORTER, SOUS LA MÊME ENVELOPPE, DES UNITÉS DE MÉMOIRE</v>
      </c>
      <c r="C6117">
        <v>26697092</v>
      </c>
      <c r="D6117">
        <v>2718</v>
      </c>
    </row>
    <row r="6118" spans="1:4" x14ac:dyDescent="0.25">
      <c r="A6118" t="str">
        <f>T("   847180")</f>
        <v xml:space="preserve">   847180</v>
      </c>
      <c r="B6118"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6118">
        <v>13085206</v>
      </c>
      <c r="D6118">
        <v>6932</v>
      </c>
    </row>
    <row r="6119" spans="1:4" x14ac:dyDescent="0.25">
      <c r="A6119" t="str">
        <f>T("   847190")</f>
        <v xml:space="preserve">   847190</v>
      </c>
      <c r="B6119"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6119">
        <v>3830777</v>
      </c>
      <c r="D6119">
        <v>9991.5</v>
      </c>
    </row>
    <row r="6120" spans="1:4" x14ac:dyDescent="0.25">
      <c r="A6120" t="str">
        <f>T("   847210")</f>
        <v xml:space="preserve">   847210</v>
      </c>
      <c r="B6120" t="str">
        <f>T("   Duplicateurs hectographiques ou à stencils (sauf imprimantes, photocopieuses et appareils à procédé thermique de reproduction)")</f>
        <v xml:space="preserve">   Duplicateurs hectographiques ou à stencils (sauf imprimantes, photocopieuses et appareils à procédé thermique de reproduction)</v>
      </c>
      <c r="C6120">
        <v>100362</v>
      </c>
      <c r="D6120">
        <v>760</v>
      </c>
    </row>
    <row r="6121" spans="1:4" x14ac:dyDescent="0.25">
      <c r="A6121" t="str">
        <f>T("   847290")</f>
        <v xml:space="preserve">   847290</v>
      </c>
      <c r="B6121" t="str">
        <f>T("   Machines et appareils de bureau, n.d.a.")</f>
        <v xml:space="preserve">   Machines et appareils de bureau, n.d.a.</v>
      </c>
      <c r="C6121">
        <v>265916</v>
      </c>
      <c r="D6121">
        <v>70</v>
      </c>
    </row>
    <row r="6122" spans="1:4" x14ac:dyDescent="0.25">
      <c r="A6122" t="str">
        <f>T("   847330")</f>
        <v xml:space="preserve">   847330</v>
      </c>
      <c r="B6122" t="str">
        <f>T("   Parties et accessoires pour machines automatiques de traitement de l'information ou pour autres machines du n° 8471, n.d.a.")</f>
        <v xml:space="preserve">   Parties et accessoires pour machines automatiques de traitement de l'information ou pour autres machines du n° 8471, n.d.a.</v>
      </c>
      <c r="C6122">
        <v>7788008</v>
      </c>
      <c r="D6122">
        <v>209</v>
      </c>
    </row>
    <row r="6123" spans="1:4" x14ac:dyDescent="0.25">
      <c r="A6123" t="str">
        <f>T("   848120")</f>
        <v xml:space="preserve">   848120</v>
      </c>
      <c r="B6123" t="str">
        <f>T("   Valves pour transmissions oléohydrauliques ou pneumatiques")</f>
        <v xml:space="preserve">   Valves pour transmissions oléohydrauliques ou pneumatiques</v>
      </c>
      <c r="C6123">
        <v>15306</v>
      </c>
      <c r="D6123">
        <v>20</v>
      </c>
    </row>
    <row r="6124" spans="1:4" x14ac:dyDescent="0.25">
      <c r="A6124" t="str">
        <f>T("   848180")</f>
        <v xml:space="preserve">   848180</v>
      </c>
      <c r="B6124"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6124">
        <v>553705</v>
      </c>
      <c r="D6124">
        <v>11</v>
      </c>
    </row>
    <row r="6125" spans="1:4" x14ac:dyDescent="0.25">
      <c r="A6125" t="str">
        <f>T("   848280")</f>
        <v xml:space="preserve">   848280</v>
      </c>
      <c r="B6125" t="s">
        <v>447</v>
      </c>
      <c r="C6125">
        <v>5912686</v>
      </c>
      <c r="D6125">
        <v>30</v>
      </c>
    </row>
    <row r="6126" spans="1:4" x14ac:dyDescent="0.25">
      <c r="A6126" t="str">
        <f>T("   848490")</f>
        <v xml:space="preserve">   848490</v>
      </c>
      <c r="B6126" t="str">
        <f>T("   Jeux ou assortiments de joints de composition différente présentés en pochettes, enveloppes ou emballages analogues")</f>
        <v xml:space="preserve">   Jeux ou assortiments de joints de composition différente présentés en pochettes, enveloppes ou emballages analogues</v>
      </c>
      <c r="C6126">
        <v>2466429</v>
      </c>
      <c r="D6126">
        <v>69</v>
      </c>
    </row>
    <row r="6127" spans="1:4" x14ac:dyDescent="0.25">
      <c r="A6127" t="str">
        <f>T("   850211")</f>
        <v xml:space="preserve">   850211</v>
      </c>
      <c r="B6127" t="s">
        <v>449</v>
      </c>
      <c r="C6127">
        <v>664402</v>
      </c>
      <c r="D6127">
        <v>458</v>
      </c>
    </row>
    <row r="6128" spans="1:4" x14ac:dyDescent="0.25">
      <c r="A6128" t="str">
        <f>T("   850239")</f>
        <v xml:space="preserve">   850239</v>
      </c>
      <c r="B6128" t="str">
        <f>T("   Groupes électrogènes (autres qu'à énergie éolienne et à moteurs à piston)")</f>
        <v xml:space="preserve">   Groupes électrogènes (autres qu'à énergie éolienne et à moteurs à piston)</v>
      </c>
      <c r="C6128">
        <v>551112</v>
      </c>
      <c r="D6128">
        <v>955</v>
      </c>
    </row>
    <row r="6129" spans="1:4" x14ac:dyDescent="0.25">
      <c r="A6129" t="str">
        <f>T("   850300")</f>
        <v xml:space="preserve">   850300</v>
      </c>
      <c r="B6129" t="str">
        <f>T("   Parties reconnaissables comme étant exclusivement ou principalement destinées aux moteurs et machines génératrices électriques, groupes électrogènes ou convertisseurs rotatifs électriques n.d.a.")</f>
        <v xml:space="preserve">   Parties reconnaissables comme étant exclusivement ou principalement destinées aux moteurs et machines génératrices électriques, groupes électrogènes ou convertisseurs rotatifs électriques n.d.a.</v>
      </c>
      <c r="C6129">
        <v>82269843</v>
      </c>
      <c r="D6129">
        <v>32000</v>
      </c>
    </row>
    <row r="6130" spans="1:4" x14ac:dyDescent="0.25">
      <c r="A6130" t="str">
        <f>T("   850440")</f>
        <v xml:space="preserve">   850440</v>
      </c>
      <c r="B6130" t="str">
        <f>T("   CONVERTISSEURS STATIQUES")</f>
        <v xml:space="preserve">   CONVERTISSEURS STATIQUES</v>
      </c>
      <c r="C6130">
        <v>6037935</v>
      </c>
      <c r="D6130">
        <v>4218</v>
      </c>
    </row>
    <row r="6131" spans="1:4" x14ac:dyDescent="0.25">
      <c r="A6131" t="str">
        <f>T("   850680")</f>
        <v xml:space="preserve">   850680</v>
      </c>
      <c r="B6131" t="str">
        <f>T("   Piles et batteries de piles électriques (sauf hors d'usage et autres que piles et batteries à l'oxyde d'argent, de mercure, au bioxyde de manganèse, au lithium et à l'air-zinc)")</f>
        <v xml:space="preserve">   Piles et batteries de piles électriques (sauf hors d'usage et autres que piles et batteries à l'oxyde d'argent, de mercure, au bioxyde de manganèse, au lithium et à l'air-zinc)</v>
      </c>
      <c r="C6131">
        <v>1749042</v>
      </c>
      <c r="D6131">
        <v>627</v>
      </c>
    </row>
    <row r="6132" spans="1:4" x14ac:dyDescent="0.25">
      <c r="A6132" t="str">
        <f>T("   850940")</f>
        <v xml:space="preserve">   850940</v>
      </c>
      <c r="B6132" t="str">
        <f>T("   Broyeurs et mélangeurs pour aliments; presse-fruits et presse-légumes à moteur électrique incorporé, à usage domestique")</f>
        <v xml:space="preserve">   Broyeurs et mélangeurs pour aliments; presse-fruits et presse-légumes à moteur électrique incorporé, à usage domestique</v>
      </c>
      <c r="C6132">
        <v>12856707</v>
      </c>
      <c r="D6132">
        <v>10958</v>
      </c>
    </row>
    <row r="6133" spans="1:4" x14ac:dyDescent="0.25">
      <c r="A6133" t="str">
        <f>T("   851020")</f>
        <v xml:space="preserve">   851020</v>
      </c>
      <c r="B6133" t="str">
        <f>T("   Tondeuses à moteur électrique incorporé")</f>
        <v xml:space="preserve">   Tondeuses à moteur électrique incorporé</v>
      </c>
      <c r="C6133">
        <v>58328</v>
      </c>
      <c r="D6133">
        <v>35</v>
      </c>
    </row>
    <row r="6134" spans="1:4" x14ac:dyDescent="0.25">
      <c r="A6134" t="str">
        <f>T("   851140")</f>
        <v xml:space="preserve">   851140</v>
      </c>
      <c r="B6134" t="str">
        <f>T("   Démarreurs, même fonctionnant comme génératrices, pour moteurs à allumage par étincelles ou par compression")</f>
        <v xml:space="preserve">   Démarreurs, même fonctionnant comme génératrices, pour moteurs à allumage par étincelles ou par compression</v>
      </c>
      <c r="C6134">
        <v>5389855</v>
      </c>
      <c r="D6134">
        <v>99</v>
      </c>
    </row>
    <row r="6135" spans="1:4" x14ac:dyDescent="0.25">
      <c r="A6135" t="str">
        <f>T("   851180")</f>
        <v xml:space="preserve">   851180</v>
      </c>
      <c r="B6135" t="s">
        <v>453</v>
      </c>
      <c r="C6135">
        <v>110201</v>
      </c>
      <c r="D6135">
        <v>4</v>
      </c>
    </row>
    <row r="6136" spans="1:4" x14ac:dyDescent="0.25">
      <c r="A6136" t="str">
        <f>T("   851629")</f>
        <v xml:space="preserve">   851629</v>
      </c>
      <c r="B6136" t="str">
        <f>T("   Appareils électriques pour le chauffage des locaux, du sol ou pour usages simil. (sauf radiateurs à accumulation)")</f>
        <v xml:space="preserve">   Appareils électriques pour le chauffage des locaux, du sol ou pour usages simil. (sauf radiateurs à accumulation)</v>
      </c>
      <c r="C6136">
        <v>15339</v>
      </c>
      <c r="D6136">
        <v>5</v>
      </c>
    </row>
    <row r="6137" spans="1:4" x14ac:dyDescent="0.25">
      <c r="A6137" t="str">
        <f>T("   851631")</f>
        <v xml:space="preserve">   851631</v>
      </c>
      <c r="B6137" t="str">
        <f>T("   Sèche-cheveux électriques")</f>
        <v xml:space="preserve">   Sèche-cheveux électriques</v>
      </c>
      <c r="C6137">
        <v>50509</v>
      </c>
      <c r="D6137">
        <v>10</v>
      </c>
    </row>
    <row r="6138" spans="1:4" x14ac:dyDescent="0.25">
      <c r="A6138" t="str">
        <f>T("   851640")</f>
        <v xml:space="preserve">   851640</v>
      </c>
      <c r="B6138" t="str">
        <f>T("   Fers à repasser électriques")</f>
        <v xml:space="preserve">   Fers à repasser électriques</v>
      </c>
      <c r="C6138">
        <v>3728770</v>
      </c>
      <c r="D6138">
        <v>17771</v>
      </c>
    </row>
    <row r="6139" spans="1:4" x14ac:dyDescent="0.25">
      <c r="A6139" t="str">
        <f>T("   851650")</f>
        <v xml:space="preserve">   851650</v>
      </c>
      <c r="B6139" t="str">
        <f>T("   Fours à micro-ondes")</f>
        <v xml:space="preserve">   Fours à micro-ondes</v>
      </c>
      <c r="C6139">
        <v>6424161</v>
      </c>
      <c r="D6139">
        <v>18672</v>
      </c>
    </row>
    <row r="6140" spans="1:4" x14ac:dyDescent="0.25">
      <c r="A6140" t="str">
        <f>T("   851660")</f>
        <v xml:space="preserve">   851660</v>
      </c>
      <c r="B6140" t="str">
        <f>T("   Fours, cuisinières, réchauds, tables de cuisson, grils et rôtissoires électriques, pour usages domestiques (sauf fours destinés au chauffage des locaux et fours à micro-ondes)")</f>
        <v xml:space="preserve">   Fours, cuisinières, réchauds, tables de cuisson, grils et rôtissoires électriques, pour usages domestiques (sauf fours destinés au chauffage des locaux et fours à micro-ondes)</v>
      </c>
      <c r="C6140">
        <v>2076559</v>
      </c>
      <c r="D6140">
        <v>1329</v>
      </c>
    </row>
    <row r="6141" spans="1:4" x14ac:dyDescent="0.25">
      <c r="A6141" t="str">
        <f>T("   851671")</f>
        <v xml:space="preserve">   851671</v>
      </c>
      <c r="B6141" t="str">
        <f>T("   Appareils électriques pour la préparation du café ou du thé, pour usages domestiques")</f>
        <v xml:space="preserve">   Appareils électriques pour la préparation du café ou du thé, pour usages domestiques</v>
      </c>
      <c r="C6141">
        <v>3655881</v>
      </c>
      <c r="D6141">
        <v>5127</v>
      </c>
    </row>
    <row r="6142" spans="1:4" x14ac:dyDescent="0.25">
      <c r="A6142" t="str">
        <f>T("   851679")</f>
        <v xml:space="preserve">   851679</v>
      </c>
      <c r="B6142" t="s">
        <v>456</v>
      </c>
      <c r="C6142">
        <v>956649</v>
      </c>
      <c r="D6142">
        <v>6197</v>
      </c>
    </row>
    <row r="6143" spans="1:4" x14ac:dyDescent="0.25">
      <c r="A6143" t="str">
        <f>T("   851680")</f>
        <v xml:space="preserve">   851680</v>
      </c>
      <c r="B6143" t="str">
        <f>T("   Résistances chauffantes (autres qu'en charbon aggloméré ou graphite)")</f>
        <v xml:space="preserve">   Résistances chauffantes (autres qu'en charbon aggloméré ou graphite)</v>
      </c>
      <c r="C6143">
        <v>61660</v>
      </c>
      <c r="D6143">
        <v>2</v>
      </c>
    </row>
    <row r="6144" spans="1:4" x14ac:dyDescent="0.25">
      <c r="A6144" t="str">
        <f>T("   851719")</f>
        <v xml:space="preserve">   851719</v>
      </c>
      <c r="B6144" t="str">
        <f>T("   Postes téléphoniques d'usagers pour la téléphonie par fil; visiophones (sauf postes téléphoniques d'usagers par fil à combinés sans fil et parlophones)")</f>
        <v xml:space="preserve">   Postes téléphoniques d'usagers pour la téléphonie par fil; visiophones (sauf postes téléphoniques d'usagers par fil à combinés sans fil et parlophones)</v>
      </c>
      <c r="C6144">
        <v>2140693</v>
      </c>
      <c r="D6144">
        <v>900</v>
      </c>
    </row>
    <row r="6145" spans="1:4" x14ac:dyDescent="0.25">
      <c r="A6145" t="str">
        <f>T("   851750")</f>
        <v xml:space="preserve">   851750</v>
      </c>
      <c r="B6145" t="s">
        <v>457</v>
      </c>
      <c r="C6145">
        <v>3837552</v>
      </c>
      <c r="D6145">
        <v>186</v>
      </c>
    </row>
    <row r="6146" spans="1:4" x14ac:dyDescent="0.25">
      <c r="A6146" t="str">
        <f>T("   851829")</f>
        <v xml:space="preserve">   851829</v>
      </c>
      <c r="B6146" t="str">
        <f>T("   Haut-parleurs sans enceinte")</f>
        <v xml:space="preserve">   Haut-parleurs sans enceinte</v>
      </c>
      <c r="C6146">
        <v>255333</v>
      </c>
      <c r="D6146">
        <v>1120</v>
      </c>
    </row>
    <row r="6147" spans="1:4" x14ac:dyDescent="0.25">
      <c r="A6147" t="str">
        <f>T("   851840")</f>
        <v xml:space="preserve">   851840</v>
      </c>
      <c r="B6147" t="str">
        <f>T("   Amplificateurs électriques d'audiofréquence")</f>
        <v xml:space="preserve">   Amplificateurs électriques d'audiofréquence</v>
      </c>
      <c r="C6147">
        <v>88278</v>
      </c>
      <c r="D6147">
        <v>37</v>
      </c>
    </row>
    <row r="6148" spans="1:4" x14ac:dyDescent="0.25">
      <c r="A6148" t="str">
        <f>T("   851939")</f>
        <v xml:space="preserve">   851939</v>
      </c>
      <c r="B6148" t="str">
        <f>T("   Tourne-disques sans amplificateur et sans changeur automatique de disques")</f>
        <v xml:space="preserve">   Tourne-disques sans amplificateur et sans changeur automatique de disques</v>
      </c>
      <c r="C6148">
        <v>561602</v>
      </c>
      <c r="D6148">
        <v>248</v>
      </c>
    </row>
    <row r="6149" spans="1:4" x14ac:dyDescent="0.25">
      <c r="A6149" t="str">
        <f>T("   851999")</f>
        <v xml:space="preserve">   851999</v>
      </c>
      <c r="B6149" t="str">
        <f>T("   Appareils de reproduction du son, n'incorporant pas de dispositif d'enregistrement du son (autres que tourne-disques, électrophones commandés par l'introduction d'une pièce de monnaie ou d'un jeton, machines à dicter et lecteurs de cassettes)")</f>
        <v xml:space="preserve">   Appareils de reproduction du son, n'incorporant pas de dispositif d'enregistrement du son (autres que tourne-disques, électrophones commandés par l'introduction d'une pièce de monnaie ou d'un jeton, machines à dicter et lecteurs de cassettes)</v>
      </c>
      <c r="C6149">
        <v>1467788</v>
      </c>
      <c r="D6149">
        <v>3409</v>
      </c>
    </row>
    <row r="6150" spans="1:4" x14ac:dyDescent="0.25">
      <c r="A6150" t="str">
        <f>T("   852090")</f>
        <v xml:space="preserve">   852090</v>
      </c>
      <c r="B6150" t="str">
        <f>T("   Appareils d'enregistrement du son, incorporant également un dispositif de reproduction du son (autres qu'appareils d'enregistrement et de reproduction du son utilisant des bandes magnétiques sur bobines)")</f>
        <v xml:space="preserve">   Appareils d'enregistrement du son, incorporant également un dispositif de reproduction du son (autres qu'appareils d'enregistrement et de reproduction du son utilisant des bandes magnétiques sur bobines)</v>
      </c>
      <c r="C6150">
        <v>203348</v>
      </c>
      <c r="D6150">
        <v>6355</v>
      </c>
    </row>
    <row r="6151" spans="1:4" x14ac:dyDescent="0.25">
      <c r="A6151" t="str">
        <f>T("   852190")</f>
        <v xml:space="preserve">   852190</v>
      </c>
      <c r="B6151" t="s">
        <v>462</v>
      </c>
      <c r="C6151">
        <v>7218601</v>
      </c>
      <c r="D6151">
        <v>13955.25</v>
      </c>
    </row>
    <row r="6152" spans="1:4" x14ac:dyDescent="0.25">
      <c r="A6152" t="str">
        <f>T("   852290")</f>
        <v xml:space="preserve">   852290</v>
      </c>
      <c r="B6152" t="s">
        <v>463</v>
      </c>
      <c r="C6152">
        <v>400258</v>
      </c>
      <c r="D6152">
        <v>500</v>
      </c>
    </row>
    <row r="6153" spans="1:4" x14ac:dyDescent="0.25">
      <c r="A6153" t="str">
        <f>T("   852540")</f>
        <v xml:space="preserve">   852540</v>
      </c>
      <c r="B6153" t="str">
        <f>T("   Appareils de prise de vues fixes vidéo et autres caméscopes; appareils photographiques numériques")</f>
        <v xml:space="preserve">   Appareils de prise de vues fixes vidéo et autres caméscopes; appareils photographiques numériques</v>
      </c>
      <c r="C6153">
        <v>587369</v>
      </c>
      <c r="D6153">
        <v>284</v>
      </c>
    </row>
    <row r="6154" spans="1:4" x14ac:dyDescent="0.25">
      <c r="A6154" t="str">
        <f>T("   852713")</f>
        <v xml:space="preserve">   852713</v>
      </c>
      <c r="B6154" t="str">
        <f>T("   RÉCEPTEURS DE RADIODIFFUSION POUVANT FONCTIONNER SANS SOURCE D'ÉNERGIE EXTÉRIEURE, COMBINÉS À UN APPAREIL D'ENREGISTREMENT OU DE REPRODUCTION DU SON (À L'EXCL. DES RADIOCASSETTES DE POCHE)")</f>
        <v xml:space="preserve">   RÉCEPTEURS DE RADIODIFFUSION POUVANT FONCTIONNER SANS SOURCE D'ÉNERGIE EXTÉRIEURE, COMBINÉS À UN APPAREIL D'ENREGISTREMENT OU DE REPRODUCTION DU SON (À L'EXCL. DES RADIOCASSETTES DE POCHE)</v>
      </c>
      <c r="C6154">
        <v>11981806</v>
      </c>
      <c r="D6154">
        <v>6428</v>
      </c>
    </row>
    <row r="6155" spans="1:4" x14ac:dyDescent="0.25">
      <c r="A6155" t="str">
        <f>T("   852719")</f>
        <v xml:space="preserve">   852719</v>
      </c>
      <c r="B6155" t="str">
        <f>T("   Récepteurs de radiodiffusion pouvant fonctionner sans source d'énergie extérieure, y.c. les appareils recevant également la radiotéléphonie ou la radiotélégraphie, non combinés à un appareil d'enregistrement et de reproduction du son")</f>
        <v xml:space="preserve">   Récepteurs de radiodiffusion pouvant fonctionner sans source d'énergie extérieure, y.c. les appareils recevant également la radiotéléphonie ou la radiotélégraphie, non combinés à un appareil d'enregistrement et de reproduction du son</v>
      </c>
      <c r="C6155">
        <v>6373953</v>
      </c>
      <c r="D6155">
        <v>22485</v>
      </c>
    </row>
    <row r="6156" spans="1:4" x14ac:dyDescent="0.25">
      <c r="A6156" t="str">
        <f>T("   852731")</f>
        <v xml:space="preserve">   852731</v>
      </c>
      <c r="B6156" t="s">
        <v>467</v>
      </c>
      <c r="C6156">
        <v>2536072</v>
      </c>
      <c r="D6156">
        <v>4630</v>
      </c>
    </row>
    <row r="6157" spans="1:4" x14ac:dyDescent="0.25">
      <c r="A6157" t="str">
        <f>T("   852739")</f>
        <v xml:space="preserve">   852739</v>
      </c>
      <c r="B6157" t="s">
        <v>468</v>
      </c>
      <c r="C6157">
        <v>30199</v>
      </c>
      <c r="D6157">
        <v>30</v>
      </c>
    </row>
    <row r="6158" spans="1:4" x14ac:dyDescent="0.25">
      <c r="A6158" t="str">
        <f>T("   852790")</f>
        <v xml:space="preserve">   852790</v>
      </c>
      <c r="B6158" t="str">
        <f>T("   Récepteurs pour la radiotéléphonie, la radiotélégraphie ou la radiodiffusion commerciale")</f>
        <v xml:space="preserve">   Récepteurs pour la radiotéléphonie, la radiotélégraphie ou la radiodiffusion commerciale</v>
      </c>
      <c r="C6158">
        <v>624768</v>
      </c>
      <c r="D6158">
        <v>11490</v>
      </c>
    </row>
    <row r="6159" spans="1:4" x14ac:dyDescent="0.25">
      <c r="A6159" t="str">
        <f>T("   852812")</f>
        <v xml:space="preserve">   852812</v>
      </c>
      <c r="B6159"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6159">
        <v>67611206</v>
      </c>
      <c r="D6159">
        <v>122171</v>
      </c>
    </row>
    <row r="6160" spans="1:4" x14ac:dyDescent="0.25">
      <c r="A6160" t="str">
        <f>T("   852821")</f>
        <v xml:space="preserve">   852821</v>
      </c>
      <c r="B6160" t="str">
        <f>T("   Moniteurs vidéo en couleurs")</f>
        <v xml:space="preserve">   Moniteurs vidéo en couleurs</v>
      </c>
      <c r="C6160">
        <v>637368</v>
      </c>
      <c r="D6160">
        <v>970</v>
      </c>
    </row>
    <row r="6161" spans="1:4" x14ac:dyDescent="0.25">
      <c r="A6161" t="str">
        <f>T("   852910")</f>
        <v xml:space="preserve">   852910</v>
      </c>
      <c r="B6161"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6161">
        <v>146776</v>
      </c>
      <c r="D6161">
        <v>89</v>
      </c>
    </row>
    <row r="6162" spans="1:4" x14ac:dyDescent="0.25">
      <c r="A6162" t="str">
        <f>T("   852990")</f>
        <v xml:space="preserve">   852990</v>
      </c>
      <c r="B6162" t="s">
        <v>471</v>
      </c>
      <c r="C6162">
        <v>48735</v>
      </c>
      <c r="D6162">
        <v>19</v>
      </c>
    </row>
    <row r="6163" spans="1:4" x14ac:dyDescent="0.25">
      <c r="A6163" t="str">
        <f>T("   853110")</f>
        <v xml:space="preserve">   853110</v>
      </c>
      <c r="B6163" t="str">
        <f>T("   Avertisseurs électriques pour la protection contre le vol ou l'incendie et appareils simil.")</f>
        <v xml:space="preserve">   Avertisseurs électriques pour la protection contre le vol ou l'incendie et appareils simil.</v>
      </c>
      <c r="C6163">
        <v>324226</v>
      </c>
      <c r="D6163">
        <v>9</v>
      </c>
    </row>
    <row r="6164" spans="1:4" x14ac:dyDescent="0.25">
      <c r="A6164" t="str">
        <f>T("   853180")</f>
        <v xml:space="preserve">   853180</v>
      </c>
      <c r="B6164" t="s">
        <v>472</v>
      </c>
      <c r="C6164">
        <v>1743973</v>
      </c>
      <c r="D6164">
        <v>33</v>
      </c>
    </row>
    <row r="6165" spans="1:4" x14ac:dyDescent="0.25">
      <c r="A6165" t="str">
        <f>T("   853610")</f>
        <v xml:space="preserve">   853610</v>
      </c>
      <c r="B6165" t="str">
        <f>T("   Fusibles et coupe-circuit à fusibles, pour une tension &lt;= 1.000 V")</f>
        <v xml:space="preserve">   Fusibles et coupe-circuit à fusibles, pour une tension &lt;= 1.000 V</v>
      </c>
      <c r="C6165">
        <v>1143869</v>
      </c>
      <c r="D6165">
        <v>156</v>
      </c>
    </row>
    <row r="6166" spans="1:4" x14ac:dyDescent="0.25">
      <c r="A6166" t="str">
        <f>T("   853649")</f>
        <v xml:space="preserve">   853649</v>
      </c>
      <c r="B6166" t="str">
        <f>T("   Relais, pour une tension &gt; 60 V mais &lt;= 1.000 V")</f>
        <v xml:space="preserve">   Relais, pour une tension &gt; 60 V mais &lt;= 1.000 V</v>
      </c>
      <c r="C6166">
        <v>76748</v>
      </c>
      <c r="D6166">
        <v>3</v>
      </c>
    </row>
    <row r="6167" spans="1:4" x14ac:dyDescent="0.25">
      <c r="A6167" t="str">
        <f>T("   853650")</f>
        <v xml:space="preserve">   853650</v>
      </c>
      <c r="B6167" t="str">
        <f>T("   Interrupteurs, sectionneurs et commutateurs, pour une tension &lt;= 1.000 V (autres que relais et disjoncteurs)")</f>
        <v xml:space="preserve">   Interrupteurs, sectionneurs et commutateurs, pour une tension &lt;= 1.000 V (autres que relais et disjoncteurs)</v>
      </c>
      <c r="C6167">
        <v>1110104</v>
      </c>
      <c r="D6167">
        <v>29</v>
      </c>
    </row>
    <row r="6168" spans="1:4" x14ac:dyDescent="0.25">
      <c r="A6168" t="str">
        <f>T("   854459")</f>
        <v xml:space="preserve">   854459</v>
      </c>
      <c r="B6168" t="str">
        <f>T("   Conducteurs électriques, pour tension &gt; 80 V mais &lt;= 1.000 V, sans pièces de connexion, n.d.a.")</f>
        <v xml:space="preserve">   Conducteurs électriques, pour tension &gt; 80 V mais &lt;= 1.000 V, sans pièces de connexion, n.d.a.</v>
      </c>
      <c r="C6168">
        <v>142885</v>
      </c>
      <c r="D6168">
        <v>7</v>
      </c>
    </row>
    <row r="6169" spans="1:4" x14ac:dyDescent="0.25">
      <c r="A6169" t="str">
        <f>T("   870322")</f>
        <v xml:space="preserve">   870322</v>
      </c>
      <c r="B6169" t="s">
        <v>480</v>
      </c>
      <c r="C6169">
        <v>16771465</v>
      </c>
      <c r="D6169">
        <v>13730</v>
      </c>
    </row>
    <row r="6170" spans="1:4" x14ac:dyDescent="0.25">
      <c r="A6170" t="str">
        <f>T("   870323")</f>
        <v xml:space="preserve">   870323</v>
      </c>
      <c r="B6170" t="s">
        <v>481</v>
      </c>
      <c r="C6170">
        <v>12061793</v>
      </c>
      <c r="D6170">
        <v>3869</v>
      </c>
    </row>
    <row r="6171" spans="1:4" x14ac:dyDescent="0.25">
      <c r="A6171" t="str">
        <f>T("   870324")</f>
        <v xml:space="preserve">   870324</v>
      </c>
      <c r="B6171" t="s">
        <v>482</v>
      </c>
      <c r="C6171">
        <v>3290951</v>
      </c>
      <c r="D6171">
        <v>2380</v>
      </c>
    </row>
    <row r="6172" spans="1:4" x14ac:dyDescent="0.25">
      <c r="A6172" t="str">
        <f>T("   870332")</f>
        <v xml:space="preserve">   870332</v>
      </c>
      <c r="B6172" t="s">
        <v>484</v>
      </c>
      <c r="C6172">
        <v>10121463</v>
      </c>
      <c r="D6172">
        <v>1350</v>
      </c>
    </row>
    <row r="6173" spans="1:4" x14ac:dyDescent="0.25">
      <c r="A6173" t="str">
        <f>T("   870333")</f>
        <v xml:space="preserve">   870333</v>
      </c>
      <c r="B6173" t="s">
        <v>485</v>
      </c>
      <c r="C6173">
        <v>64540643</v>
      </c>
      <c r="D6173">
        <v>5039</v>
      </c>
    </row>
    <row r="6174" spans="1:4" x14ac:dyDescent="0.25">
      <c r="A6174" t="str">
        <f>T("   870421")</f>
        <v xml:space="preserve">   870421</v>
      </c>
      <c r="B6174" t="s">
        <v>486</v>
      </c>
      <c r="C6174">
        <v>16039652</v>
      </c>
      <c r="D6174">
        <v>3674</v>
      </c>
    </row>
    <row r="6175" spans="1:4" x14ac:dyDescent="0.25">
      <c r="A6175" t="str">
        <f>T("   870422")</f>
        <v xml:space="preserve">   870422</v>
      </c>
      <c r="B6175" t="s">
        <v>487</v>
      </c>
      <c r="C6175">
        <v>24617449</v>
      </c>
      <c r="D6175">
        <v>31500</v>
      </c>
    </row>
    <row r="6176" spans="1:4" x14ac:dyDescent="0.25">
      <c r="A6176" t="str">
        <f>T("   870590")</f>
        <v xml:space="preserve">   870590</v>
      </c>
      <c r="B6176" t="s">
        <v>491</v>
      </c>
      <c r="C6176">
        <v>2574951</v>
      </c>
      <c r="D6176">
        <v>2920</v>
      </c>
    </row>
    <row r="6177" spans="1:4" x14ac:dyDescent="0.25">
      <c r="A6177" t="str">
        <f>T("   870899")</f>
        <v xml:space="preserve">   870899</v>
      </c>
      <c r="B6177"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6177">
        <v>3403279</v>
      </c>
      <c r="D6177">
        <v>6059.83</v>
      </c>
    </row>
    <row r="6178" spans="1:4" x14ac:dyDescent="0.25">
      <c r="A6178" t="str">
        <f>T("   871110")</f>
        <v xml:space="preserve">   871110</v>
      </c>
      <c r="B6178" t="str">
        <f>T("   Cyclomoteurs, à moteur à piston alternatif, cylindrée &lt;= 50 cm³, y.c. cycles à moteur auxiliaire")</f>
        <v xml:space="preserve">   Cyclomoteurs, à moteur à piston alternatif, cylindrée &lt;= 50 cm³, y.c. cycles à moteur auxiliaire</v>
      </c>
      <c r="C6178">
        <v>116105</v>
      </c>
      <c r="D6178">
        <v>20</v>
      </c>
    </row>
    <row r="6179" spans="1:4" x14ac:dyDescent="0.25">
      <c r="A6179" t="str">
        <f>T("   871200")</f>
        <v xml:space="preserve">   871200</v>
      </c>
      <c r="B6179" t="str">
        <f>T("   BICYCLETTES ET AUTRES CYCLES, -Y.C. LES TRIPORTEURS-, SANS MOTEUR")</f>
        <v xml:space="preserve">   BICYCLETTES ET AUTRES CYCLES, -Y.C. LES TRIPORTEURS-, SANS MOTEUR</v>
      </c>
      <c r="C6179">
        <v>6175582</v>
      </c>
      <c r="D6179">
        <v>23155</v>
      </c>
    </row>
    <row r="6180" spans="1:4" x14ac:dyDescent="0.25">
      <c r="A6180" t="str">
        <f>T("   871640")</f>
        <v xml:space="preserve">   871640</v>
      </c>
      <c r="B6180"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6180">
        <v>45327836</v>
      </c>
      <c r="D6180">
        <v>91320</v>
      </c>
    </row>
    <row r="6181" spans="1:4" x14ac:dyDescent="0.25">
      <c r="A6181" t="str">
        <f>T("   890399")</f>
        <v xml:space="preserve">   890399</v>
      </c>
      <c r="B6181" t="str">
        <f>T("   Bateaux, de plaisance ou de sport (sauf bateaux à moteur autre qu' à moteur hors-bord, bateaux à voile, même avec moteur auxiliaire, et bateaux gonflables); bateaux à rames et canoës")</f>
        <v xml:space="preserve">   Bateaux, de plaisance ou de sport (sauf bateaux à moteur autre qu' à moteur hors-bord, bateaux à voile, même avec moteur auxiliaire, et bateaux gonflables); bateaux à rames et canoës</v>
      </c>
      <c r="C6181">
        <v>510202</v>
      </c>
      <c r="D6181">
        <v>1000</v>
      </c>
    </row>
    <row r="6182" spans="1:4" x14ac:dyDescent="0.25">
      <c r="A6182" t="str">
        <f>T("   900659")</f>
        <v xml:space="preserve">   900659</v>
      </c>
      <c r="B6182" t="s">
        <v>498</v>
      </c>
      <c r="C6182">
        <v>848215</v>
      </c>
      <c r="D6182">
        <v>564</v>
      </c>
    </row>
    <row r="6183" spans="1:4" x14ac:dyDescent="0.25">
      <c r="A6183" t="str">
        <f>T("   900720")</f>
        <v xml:space="preserve">   900720</v>
      </c>
      <c r="B6183" t="str">
        <f>T("   Projecteurs cinématographiques")</f>
        <v xml:space="preserve">   Projecteurs cinématographiques</v>
      </c>
      <c r="C6183">
        <v>490782</v>
      </c>
      <c r="D6183">
        <v>231</v>
      </c>
    </row>
    <row r="6184" spans="1:4" x14ac:dyDescent="0.25">
      <c r="A6184" t="str">
        <f>T("   900911")</f>
        <v xml:space="preserve">   900911</v>
      </c>
      <c r="B6184" t="str">
        <f>T("   Appareils de photocopie électrostatiques, fonctionnant par reproduction directe de l'image de l'original sur la copie [procédé direct]")</f>
        <v xml:space="preserve">   Appareils de photocopie électrostatiques, fonctionnant par reproduction directe de l'image de l'original sur la copie [procédé direct]</v>
      </c>
      <c r="C6184">
        <v>98394</v>
      </c>
      <c r="D6184">
        <v>699</v>
      </c>
    </row>
    <row r="6185" spans="1:4" x14ac:dyDescent="0.25">
      <c r="A6185" t="str">
        <f>T("   900922")</f>
        <v xml:space="preserve">   900922</v>
      </c>
      <c r="B6185" t="str">
        <f>T("   APPAREILS DE PHOTOCOPIE PAR CONTACT")</f>
        <v xml:space="preserve">   APPAREILS DE PHOTOCOPIE PAR CONTACT</v>
      </c>
      <c r="C6185">
        <v>301742</v>
      </c>
      <c r="D6185">
        <v>600</v>
      </c>
    </row>
    <row r="6186" spans="1:4" x14ac:dyDescent="0.25">
      <c r="A6186" t="str">
        <f>T("   900999")</f>
        <v xml:space="preserve">   900999</v>
      </c>
      <c r="B6186" t="str">
        <f>T("   Parties et accessoires d'appareils de photocopie et de thermocopie, n.d.a. (à l'excl. des dispositifs automatiques d'alimentation en documents, des dispositifs d'alimentation en papier et des dispositifs de tri)")</f>
        <v xml:space="preserve">   Parties et accessoires d'appareils de photocopie et de thermocopie, n.d.a. (à l'excl. des dispositifs automatiques d'alimentation en documents, des dispositifs d'alimentation en papier et des dispositifs de tri)</v>
      </c>
      <c r="C6186">
        <v>484283</v>
      </c>
      <c r="D6186">
        <v>228</v>
      </c>
    </row>
    <row r="6187" spans="1:4" x14ac:dyDescent="0.25">
      <c r="A6187" t="str">
        <f>T("   901819")</f>
        <v xml:space="preserve">   901819</v>
      </c>
      <c r="B6187" t="s">
        <v>502</v>
      </c>
      <c r="C6187">
        <v>1977719</v>
      </c>
      <c r="D6187">
        <v>477</v>
      </c>
    </row>
    <row r="6188" spans="1:4" x14ac:dyDescent="0.25">
      <c r="A6188" t="str">
        <f>T("   901831")</f>
        <v xml:space="preserve">   901831</v>
      </c>
      <c r="B6188" t="str">
        <f>T("   Seringues, avec ou sans aiguilles, pour la médecine")</f>
        <v xml:space="preserve">   Seringues, avec ou sans aiguilles, pour la médecine</v>
      </c>
      <c r="C6188">
        <v>1765319</v>
      </c>
      <c r="D6188">
        <v>255</v>
      </c>
    </row>
    <row r="6189" spans="1:4" x14ac:dyDescent="0.25">
      <c r="A6189" t="str">
        <f>T("   901890")</f>
        <v xml:space="preserve">   901890</v>
      </c>
      <c r="B6189" t="str">
        <f>T("   Instruments et appareils pour la médecine, la chirurgie ou l'art vétérinaire, n.d.a.")</f>
        <v xml:space="preserve">   Instruments et appareils pour la médecine, la chirurgie ou l'art vétérinaire, n.d.a.</v>
      </c>
      <c r="C6189">
        <v>24100</v>
      </c>
      <c r="D6189">
        <v>5</v>
      </c>
    </row>
    <row r="6190" spans="1:4" x14ac:dyDescent="0.25">
      <c r="A6190" t="str">
        <f>T("   902610")</f>
        <v xml:space="preserve">   902610</v>
      </c>
      <c r="B6190" t="str">
        <f>T("   Instruments et appareils pour la mesure ou le contrôle du débit ou du niveau des liquides (à l'excl. des compteurs et des instruments et appareils pour la régulation ou le contrôle automatiques)")</f>
        <v xml:space="preserve">   Instruments et appareils pour la mesure ou le contrôle du débit ou du niveau des liquides (à l'excl. des compteurs et des instruments et appareils pour la régulation ou le contrôle automatiques)</v>
      </c>
      <c r="C6190">
        <v>6367404</v>
      </c>
      <c r="D6190">
        <v>224</v>
      </c>
    </row>
    <row r="6191" spans="1:4" x14ac:dyDescent="0.25">
      <c r="A6191" t="str">
        <f>T("   903289")</f>
        <v xml:space="preserve">   903289</v>
      </c>
      <c r="B6191" t="s">
        <v>508</v>
      </c>
      <c r="C6191">
        <v>22489763</v>
      </c>
      <c r="D6191">
        <v>13449</v>
      </c>
    </row>
    <row r="6192" spans="1:4" x14ac:dyDescent="0.25">
      <c r="A6192" t="str">
        <f>T("   903290")</f>
        <v xml:space="preserve">   903290</v>
      </c>
      <c r="B6192" t="str">
        <f>T("   Parties et accessoires des instruments et appareils pour la régulation ou le contrôle automatiques, n.d.a.")</f>
        <v xml:space="preserve">   Parties et accessoires des instruments et appareils pour la régulation ou le contrôle automatiques, n.d.a.</v>
      </c>
      <c r="C6192">
        <v>18747</v>
      </c>
      <c r="D6192">
        <v>10</v>
      </c>
    </row>
    <row r="6193" spans="1:4" x14ac:dyDescent="0.25">
      <c r="A6193" t="str">
        <f>T("   910229")</f>
        <v xml:space="preserve">   910229</v>
      </c>
      <c r="B6193" t="str">
        <f>T("   Montres-bracelets, même incorporant un compteur de temps, à remontage exclusivement manuel (autres que celles en métaux précieux ou en plaqués ou doublés de métaux précieux)")</f>
        <v xml:space="preserve">   Montres-bracelets, même incorporant un compteur de temps, à remontage exclusivement manuel (autres que celles en métaux précieux ou en plaqués ou doublés de métaux précieux)</v>
      </c>
      <c r="C6193">
        <v>817095</v>
      </c>
      <c r="D6193">
        <v>14</v>
      </c>
    </row>
    <row r="6194" spans="1:4" x14ac:dyDescent="0.25">
      <c r="A6194" t="str">
        <f>T("   920110")</f>
        <v xml:space="preserve">   920110</v>
      </c>
      <c r="B6194" t="str">
        <f>T("   Pianos droits")</f>
        <v xml:space="preserve">   Pianos droits</v>
      </c>
      <c r="C6194">
        <v>131192</v>
      </c>
      <c r="D6194">
        <v>2062</v>
      </c>
    </row>
    <row r="6195" spans="1:4" x14ac:dyDescent="0.25">
      <c r="A6195" t="str">
        <f>T("   920590")</f>
        <v xml:space="preserve">   920590</v>
      </c>
      <c r="B6195" t="s">
        <v>510</v>
      </c>
      <c r="C6195">
        <v>429601</v>
      </c>
      <c r="D6195">
        <v>850</v>
      </c>
    </row>
    <row r="6196" spans="1:4" x14ac:dyDescent="0.25">
      <c r="A6196" t="str">
        <f>T("   940169")</f>
        <v xml:space="preserve">   940169</v>
      </c>
      <c r="B6196" t="str">
        <f>T("   Sièges, avec bâti en bois, non rembourrés")</f>
        <v xml:space="preserve">   Sièges, avec bâti en bois, non rembourrés</v>
      </c>
      <c r="C6196">
        <v>39810</v>
      </c>
      <c r="D6196">
        <v>2650</v>
      </c>
    </row>
    <row r="6197" spans="1:4" x14ac:dyDescent="0.25">
      <c r="A6197" t="str">
        <f>T("   940180")</f>
        <v xml:space="preserve">   940180</v>
      </c>
      <c r="B6197" t="str">
        <f>T("   Sièges, n.d.a.")</f>
        <v xml:space="preserve">   Sièges, n.d.a.</v>
      </c>
      <c r="C6197">
        <v>80051</v>
      </c>
      <c r="D6197">
        <v>40</v>
      </c>
    </row>
    <row r="6198" spans="1:4" x14ac:dyDescent="0.25">
      <c r="A6198" t="str">
        <f>T("   940310")</f>
        <v xml:space="preserve">   940310</v>
      </c>
      <c r="B6198" t="str">
        <f>T("   Meubles de bureau en métal (sauf sièges)")</f>
        <v xml:space="preserve">   Meubles de bureau en métal (sauf sièges)</v>
      </c>
      <c r="C6198">
        <v>324204</v>
      </c>
      <c r="D6198">
        <v>649</v>
      </c>
    </row>
    <row r="6199" spans="1:4" x14ac:dyDescent="0.25">
      <c r="A6199" t="str">
        <f>T("   940330")</f>
        <v xml:space="preserve">   940330</v>
      </c>
      <c r="B6199" t="str">
        <f>T("   Meubles de bureau en bois (sauf sièges)")</f>
        <v xml:space="preserve">   Meubles de bureau en bois (sauf sièges)</v>
      </c>
      <c r="C6199">
        <v>36734</v>
      </c>
      <c r="D6199">
        <v>50</v>
      </c>
    </row>
    <row r="6200" spans="1:4" x14ac:dyDescent="0.25">
      <c r="A6200" t="str">
        <f>T("   940360")</f>
        <v xml:space="preserve">   940360</v>
      </c>
      <c r="B6200" t="str">
        <f>T("   Meubles en bois (autres que pour bureaux, cuisines ou chambres à coucher et autres que sièges)")</f>
        <v xml:space="preserve">   Meubles en bois (autres que pour bureaux, cuisines ou chambres à coucher et autres que sièges)</v>
      </c>
      <c r="C6200">
        <v>926373</v>
      </c>
      <c r="D6200">
        <v>5718</v>
      </c>
    </row>
    <row r="6201" spans="1:4" x14ac:dyDescent="0.25">
      <c r="A6201" t="str">
        <f>T("   940370")</f>
        <v xml:space="preserve">   940370</v>
      </c>
      <c r="B6201" t="str">
        <f>T("   Meubles en matières plastiques (autres que pour la médecine, l'art dentaire et vétérinaire, la chirurgie et autres que sièges)")</f>
        <v xml:space="preserve">   Meubles en matières plastiques (autres que pour la médecine, l'art dentaire et vétérinaire, la chirurgie et autres que sièges)</v>
      </c>
      <c r="C6201">
        <v>50332</v>
      </c>
      <c r="D6201">
        <v>10</v>
      </c>
    </row>
    <row r="6202" spans="1:4" x14ac:dyDescent="0.25">
      <c r="A6202" t="str">
        <f>T("   940380")</f>
        <v xml:space="preserve">   940380</v>
      </c>
      <c r="B6202" t="str">
        <f>T("   Meubles en rotin, osier, bambou ou autres matières (sauf métal, bois et matières plastiques)")</f>
        <v xml:space="preserve">   Meubles en rotin, osier, bambou ou autres matières (sauf métal, bois et matières plastiques)</v>
      </c>
      <c r="C6202">
        <v>2053059</v>
      </c>
      <c r="D6202">
        <v>8486</v>
      </c>
    </row>
    <row r="6203" spans="1:4" x14ac:dyDescent="0.25">
      <c r="A6203" t="str">
        <f>T("   940490")</f>
        <v xml:space="preserve">   940490</v>
      </c>
      <c r="B6203" t="s">
        <v>514</v>
      </c>
      <c r="C6203">
        <v>50509</v>
      </c>
      <c r="D6203">
        <v>40</v>
      </c>
    </row>
    <row r="6204" spans="1:4" x14ac:dyDescent="0.25">
      <c r="A6204" t="str">
        <f>T("   940520")</f>
        <v xml:space="preserve">   940520</v>
      </c>
      <c r="B6204" t="str">
        <f>T("   Lampes de chevet, lampes de bureau et lampadaires d'intérieur, électriques")</f>
        <v xml:space="preserve">   Lampes de chevet, lampes de bureau et lampadaires d'intérieur, électriques</v>
      </c>
      <c r="C6204">
        <v>443561</v>
      </c>
      <c r="D6204">
        <v>211</v>
      </c>
    </row>
    <row r="6205" spans="1:4" x14ac:dyDescent="0.25">
      <c r="A6205" t="str">
        <f>T("   940560")</f>
        <v xml:space="preserve">   940560</v>
      </c>
      <c r="B6205" t="str">
        <f>T("   Lampes-réclames, enseignes lumineuses, plaques indicatrices lumineuses et articles simil., possédant une source d'éclairage fixée à demeure")</f>
        <v xml:space="preserve">   Lampes-réclames, enseignes lumineuses, plaques indicatrices lumineuses et articles simil., possédant une source d'éclairage fixée à demeure</v>
      </c>
      <c r="C6205">
        <v>1160276</v>
      </c>
      <c r="D6205">
        <v>46</v>
      </c>
    </row>
    <row r="6206" spans="1:4" x14ac:dyDescent="0.25">
      <c r="A6206" t="str">
        <f>T("   950390")</f>
        <v xml:space="preserve">   950390</v>
      </c>
      <c r="B6206" t="str">
        <f>T("   Jouets, n.d.a.")</f>
        <v xml:space="preserve">   Jouets, n.d.a.</v>
      </c>
      <c r="C6206">
        <v>15852283</v>
      </c>
      <c r="D6206">
        <v>22619</v>
      </c>
    </row>
    <row r="6207" spans="1:4" x14ac:dyDescent="0.25">
      <c r="A6207" t="str">
        <f>T("   950410")</f>
        <v xml:space="preserve">   950410</v>
      </c>
      <c r="B6207" t="str">
        <f>T("   Jeux vidéo des types utilisables avec un récepteur de télévision")</f>
        <v xml:space="preserve">   Jeux vidéo des types utilisables avec un récepteur de télévision</v>
      </c>
      <c r="C6207">
        <v>150000</v>
      </c>
      <c r="D6207">
        <v>2455</v>
      </c>
    </row>
    <row r="6208" spans="1:4" x14ac:dyDescent="0.25">
      <c r="A6208" t="str">
        <f>T("   950510")</f>
        <v xml:space="preserve">   950510</v>
      </c>
      <c r="B6208" t="str">
        <f>T("   Articles pour fêtes de Noël (sauf bougies et guirlandes électriques)")</f>
        <v xml:space="preserve">   Articles pour fêtes de Noël (sauf bougies et guirlandes électriques)</v>
      </c>
      <c r="C6208">
        <v>42638</v>
      </c>
      <c r="D6208">
        <v>10</v>
      </c>
    </row>
    <row r="6209" spans="1:4" x14ac:dyDescent="0.25">
      <c r="A6209" t="str">
        <f>T("   950619")</f>
        <v xml:space="preserve">   950619</v>
      </c>
      <c r="B6209" t="str">
        <f>T("   MATÉRIEL POUR LA PRATIQUE DU SKI DE NEIGE (À L'EXCL. DES SKIS ET DES FIXATIONS POUR SKIS) [01/01/1988-31/12/1994: MATERIEL POUR LA PRATIQUE DU SKI DE NEIGE, (SAUF SKIS ET FIXATIONS)]")</f>
        <v xml:space="preserve">   MATÉRIEL POUR LA PRATIQUE DU SKI DE NEIGE (À L'EXCL. DES SKIS ET DES FIXATIONS POUR SKIS) [01/01/1988-31/12/1994: MATERIEL POUR LA PRATIQUE DU SKI DE NEIGE, (SAUF SKIS ET FIXATIONS)]</v>
      </c>
      <c r="C6209">
        <v>166614</v>
      </c>
      <c r="D6209">
        <v>705</v>
      </c>
    </row>
    <row r="6210" spans="1:4" x14ac:dyDescent="0.25">
      <c r="A6210" t="str">
        <f>T("   950691")</f>
        <v xml:space="preserve">   950691</v>
      </c>
      <c r="B6210" t="str">
        <f>T("   Articles et matériel pour la culture physique, la gymnastique ou l'athlétisme")</f>
        <v xml:space="preserve">   Articles et matériel pour la culture physique, la gymnastique ou l'athlétisme</v>
      </c>
      <c r="C6210">
        <v>590578</v>
      </c>
      <c r="D6210">
        <v>407</v>
      </c>
    </row>
    <row r="6211" spans="1:4" x14ac:dyDescent="0.25">
      <c r="A6211" t="str">
        <f>T("   960810")</f>
        <v xml:space="preserve">   960810</v>
      </c>
      <c r="B6211" t="str">
        <f>T("   Stylos et crayons à bille")</f>
        <v xml:space="preserve">   Stylos et crayons à bille</v>
      </c>
      <c r="C6211">
        <v>152889</v>
      </c>
      <c r="D6211">
        <v>14</v>
      </c>
    </row>
    <row r="6212" spans="1:4" x14ac:dyDescent="0.25">
      <c r="A6212" t="str">
        <f>T("GE")</f>
        <v>GE</v>
      </c>
      <c r="B6212" t="str">
        <f>T("Géorgie")</f>
        <v>Géorgie</v>
      </c>
    </row>
    <row r="6213" spans="1:4" x14ac:dyDescent="0.25">
      <c r="A6213" t="str">
        <f>T("   ZZ_Total_Produit_SH6")</f>
        <v xml:space="preserve">   ZZ_Total_Produit_SH6</v>
      </c>
      <c r="B6213" t="str">
        <f>T("   ZZ_Total_Produit_SH6")</f>
        <v xml:space="preserve">   ZZ_Total_Produit_SH6</v>
      </c>
      <c r="C6213">
        <v>421320970</v>
      </c>
      <c r="D6213">
        <v>1000382.7</v>
      </c>
    </row>
    <row r="6214" spans="1:4" x14ac:dyDescent="0.25">
      <c r="A6214" t="str">
        <f>T("   271019")</f>
        <v xml:space="preserve">   271019</v>
      </c>
      <c r="B6214" t="str">
        <f>T("   Huiles moyennes et préparations, de pétrole ou de minéraux bitumineux, n.d.a.")</f>
        <v xml:space="preserve">   Huiles moyennes et préparations, de pétrole ou de minéraux bitumineux, n.d.a.</v>
      </c>
      <c r="C6214">
        <v>375825291</v>
      </c>
      <c r="D6214">
        <v>999999</v>
      </c>
    </row>
    <row r="6215" spans="1:4" x14ac:dyDescent="0.25">
      <c r="A6215" t="str">
        <f>T("   293391")</f>
        <v xml:space="preserve">   293391</v>
      </c>
      <c r="B6215" t="s">
        <v>72</v>
      </c>
      <c r="C6215">
        <v>6560</v>
      </c>
      <c r="D6215">
        <v>0.2</v>
      </c>
    </row>
    <row r="6216" spans="1:4" x14ac:dyDescent="0.25">
      <c r="A6216" t="str">
        <f>T("   300490")</f>
        <v xml:space="preserve">   300490</v>
      </c>
      <c r="B6216" t="s">
        <v>80</v>
      </c>
      <c r="C6216">
        <v>32798</v>
      </c>
      <c r="D6216">
        <v>0.5</v>
      </c>
    </row>
    <row r="6217" spans="1:4" x14ac:dyDescent="0.25">
      <c r="A6217" t="str">
        <f>T("   842290")</f>
        <v xml:space="preserve">   842290</v>
      </c>
      <c r="B6217" t="str">
        <f>T("   Parties des machines à laver la vaisselle, des machines à empaqueter ou à emballer les marchandises et autres machines et appareils du n° 8422, n.d.a.")</f>
        <v xml:space="preserve">   Parties des machines à laver la vaisselle, des machines à empaqueter ou à emballer les marchandises et autres machines et appareils du n° 8422, n.d.a.</v>
      </c>
      <c r="C6217">
        <v>692014</v>
      </c>
      <c r="D6217">
        <v>1</v>
      </c>
    </row>
    <row r="6218" spans="1:4" x14ac:dyDescent="0.25">
      <c r="A6218" t="str">
        <f>T("   851780")</f>
        <v xml:space="preserve">   851780</v>
      </c>
      <c r="B6218" t="s">
        <v>458</v>
      </c>
      <c r="C6218">
        <v>29057386</v>
      </c>
      <c r="D6218">
        <v>226</v>
      </c>
    </row>
    <row r="6219" spans="1:4" x14ac:dyDescent="0.25">
      <c r="A6219" t="str">
        <f>T("   853540")</f>
        <v xml:space="preserve">   853540</v>
      </c>
      <c r="B6219" t="str">
        <f>T("   Parafoudres, limiteurs de tension et étaleurs d'ondes, pour une tension &gt; 1.000 V")</f>
        <v xml:space="preserve">   Parafoudres, limiteurs de tension et étaleurs d'ondes, pour une tension &gt; 1.000 V</v>
      </c>
      <c r="C6219">
        <v>6467766</v>
      </c>
      <c r="D6219">
        <v>46</v>
      </c>
    </row>
    <row r="6220" spans="1:4" x14ac:dyDescent="0.25">
      <c r="A6220" t="str">
        <f>T("   901890")</f>
        <v xml:space="preserve">   901890</v>
      </c>
      <c r="B6220" t="str">
        <f>T("   Instruments et appareils pour la médecine, la chirurgie ou l'art vétérinaire, n.d.a.")</f>
        <v xml:space="preserve">   Instruments et appareils pour la médecine, la chirurgie ou l'art vétérinaire, n.d.a.</v>
      </c>
      <c r="C6220">
        <v>9239155</v>
      </c>
      <c r="D6220">
        <v>110</v>
      </c>
    </row>
    <row r="6221" spans="1:4" x14ac:dyDescent="0.25">
      <c r="A6221" t="str">
        <f>T("GH")</f>
        <v>GH</v>
      </c>
      <c r="B6221" t="str">
        <f>T("Ghana")</f>
        <v>Ghana</v>
      </c>
    </row>
    <row r="6222" spans="1:4" x14ac:dyDescent="0.25">
      <c r="A6222" t="str">
        <f>T("   ZZ_Total_Produit_SH6")</f>
        <v xml:space="preserve">   ZZ_Total_Produit_SH6</v>
      </c>
      <c r="B6222" t="str">
        <f>T("   ZZ_Total_Produit_SH6")</f>
        <v xml:space="preserve">   ZZ_Total_Produit_SH6</v>
      </c>
      <c r="C6222">
        <v>4064096874</v>
      </c>
      <c r="D6222">
        <v>10330746.92</v>
      </c>
    </row>
    <row r="6223" spans="1:4" x14ac:dyDescent="0.25">
      <c r="A6223" t="str">
        <f>T("   020727")</f>
        <v xml:space="preserve">   020727</v>
      </c>
      <c r="B6223" t="str">
        <f>T("   Morceaux et abats comestibles de dindes et dindons [des espèces domestiques], congelés")</f>
        <v xml:space="preserve">   Morceaux et abats comestibles de dindes et dindons [des espèces domestiques], congelés</v>
      </c>
      <c r="C6223">
        <v>15000493</v>
      </c>
      <c r="D6223">
        <v>25000</v>
      </c>
    </row>
    <row r="6224" spans="1:4" x14ac:dyDescent="0.25">
      <c r="A6224" t="str">
        <f>T("   030371")</f>
        <v xml:space="preserve">   030371</v>
      </c>
      <c r="B6224" t="str">
        <f>T("   Sardines [Sardina pilchardus, Sardinops spp.], sardinelles [Sardinella spp.], sprats ou esprots [Sprattus sprattus], congelés")</f>
        <v xml:space="preserve">   Sardines [Sardina pilchardus, Sardinops spp.], sardinelles [Sardinella spp.], sprats ou esprots [Sprattus sprattus], congelés</v>
      </c>
      <c r="C6224">
        <v>8929200</v>
      </c>
      <c r="D6224">
        <v>51024</v>
      </c>
    </row>
    <row r="6225" spans="1:4" x14ac:dyDescent="0.25">
      <c r="A6225" t="str">
        <f>T("   030379")</f>
        <v xml:space="preserve">   030379</v>
      </c>
      <c r="B6225" t="s">
        <v>17</v>
      </c>
      <c r="C6225">
        <v>9829561</v>
      </c>
      <c r="D6225">
        <v>55500</v>
      </c>
    </row>
    <row r="6226" spans="1:4" x14ac:dyDescent="0.25">
      <c r="A6226" t="str">
        <f>T("   040221")</f>
        <v xml:space="preserve">   040221</v>
      </c>
      <c r="B6226" t="str">
        <f>T("   Lait et crème de lait, en poudre, en granulés ou sous d'autres formes solides, d'une teneur en poids de matières grasses &gt; 1,5%, sans addition de sucre ou d'autres édulcorants")</f>
        <v xml:space="preserve">   Lait et crème de lait, en poudre, en granulés ou sous d'autres formes solides, d'une teneur en poids de matières grasses &gt; 1,5%, sans addition de sucre ou d'autres édulcorants</v>
      </c>
      <c r="C6226">
        <v>33568074</v>
      </c>
      <c r="D6226">
        <v>12480</v>
      </c>
    </row>
    <row r="6227" spans="1:4" x14ac:dyDescent="0.25">
      <c r="A6227" t="str">
        <f>T("   040700")</f>
        <v xml:space="preserve">   040700</v>
      </c>
      <c r="B6227" t="str">
        <f>T("   Oeufs d'oiseaux, en coquilles, frais, conservés ou cuits")</f>
        <v xml:space="preserve">   Oeufs d'oiseaux, en coquilles, frais, conservés ou cuits</v>
      </c>
      <c r="C6227">
        <v>3347916</v>
      </c>
      <c r="D6227">
        <v>8415</v>
      </c>
    </row>
    <row r="6228" spans="1:4" x14ac:dyDescent="0.25">
      <c r="A6228" t="str">
        <f>T("   071010")</f>
        <v xml:space="preserve">   071010</v>
      </c>
      <c r="B6228" t="str">
        <f>T("   Pommes de terre, non cuites ou cuites à l'eau ou à la vapeur, congelées")</f>
        <v xml:space="preserve">   Pommes de terre, non cuites ou cuites à l'eau ou à la vapeur, congelées</v>
      </c>
      <c r="C6228">
        <v>4307033</v>
      </c>
      <c r="D6228">
        <v>26100</v>
      </c>
    </row>
    <row r="6229" spans="1:4" x14ac:dyDescent="0.25">
      <c r="A6229" t="str">
        <f>T("   071220")</f>
        <v xml:space="preserve">   071220</v>
      </c>
      <c r="B6229" t="str">
        <f>T("   Oignons, séchés, même coupés en morceaux ou en tranches ou bien broyés ou pulvérisés, mais non autrement préparés")</f>
        <v xml:space="preserve">   Oignons, séchés, même coupés en morceaux ou en tranches ou bien broyés ou pulvérisés, mais non autrement préparés</v>
      </c>
      <c r="C6229">
        <v>478851</v>
      </c>
      <c r="D6229">
        <v>2900</v>
      </c>
    </row>
    <row r="6230" spans="1:4" x14ac:dyDescent="0.25">
      <c r="A6230" t="str">
        <f>T("   080111")</f>
        <v xml:space="preserve">   080111</v>
      </c>
      <c r="B6230" t="str">
        <f>T("   Noix de coco, desséchées")</f>
        <v xml:space="preserve">   Noix de coco, desséchées</v>
      </c>
      <c r="C6230">
        <v>151270</v>
      </c>
      <c r="D6230">
        <v>24500</v>
      </c>
    </row>
    <row r="6231" spans="1:4" x14ac:dyDescent="0.25">
      <c r="A6231" t="str">
        <f>T("   080810")</f>
        <v xml:space="preserve">   080810</v>
      </c>
      <c r="B6231" t="str">
        <f>T("   Pommes, fraîches")</f>
        <v xml:space="preserve">   Pommes, fraîches</v>
      </c>
      <c r="C6231">
        <v>14000810</v>
      </c>
      <c r="D6231">
        <v>44688</v>
      </c>
    </row>
    <row r="6232" spans="1:4" x14ac:dyDescent="0.25">
      <c r="A6232" t="str">
        <f>T("   090111")</f>
        <v xml:space="preserve">   090111</v>
      </c>
      <c r="B6232" t="str">
        <f>T("   Café, non torréfié, non décaféiné")</f>
        <v xml:space="preserve">   Café, non torréfié, non décaféiné</v>
      </c>
      <c r="C6232">
        <v>2000000</v>
      </c>
      <c r="D6232">
        <v>9140</v>
      </c>
    </row>
    <row r="6233" spans="1:4" x14ac:dyDescent="0.25">
      <c r="A6233" t="str">
        <f>T("   100590")</f>
        <v xml:space="preserve">   100590</v>
      </c>
      <c r="B6233" t="str">
        <f>T("   Maïs (autre que de semence)")</f>
        <v xml:space="preserve">   Maïs (autre que de semence)</v>
      </c>
      <c r="C6233">
        <v>4500000</v>
      </c>
      <c r="D6233">
        <v>42970</v>
      </c>
    </row>
    <row r="6234" spans="1:4" x14ac:dyDescent="0.25">
      <c r="A6234" t="str">
        <f>T("   100630")</f>
        <v xml:space="preserve">   100630</v>
      </c>
      <c r="B6234" t="str">
        <f>T("   Riz semi-blanchi ou blanchi, même poli ou glacé")</f>
        <v xml:space="preserve">   Riz semi-blanchi ou blanchi, même poli ou glacé</v>
      </c>
      <c r="C6234">
        <v>25561404</v>
      </c>
      <c r="D6234">
        <v>511200</v>
      </c>
    </row>
    <row r="6235" spans="1:4" x14ac:dyDescent="0.25">
      <c r="A6235" t="str">
        <f>T("   120799")</f>
        <v xml:space="preserve">   120799</v>
      </c>
      <c r="B6235" t="s">
        <v>29</v>
      </c>
      <c r="C6235">
        <v>7000000</v>
      </c>
      <c r="D6235">
        <v>30450</v>
      </c>
    </row>
    <row r="6236" spans="1:4" x14ac:dyDescent="0.25">
      <c r="A6236" t="str">
        <f>T("   151110")</f>
        <v xml:space="preserve">   151110</v>
      </c>
      <c r="B6236" t="str">
        <f>T("   Huile de palme, brute")</f>
        <v xml:space="preserve">   Huile de palme, brute</v>
      </c>
      <c r="C6236">
        <v>7500000</v>
      </c>
      <c r="D6236">
        <v>75000</v>
      </c>
    </row>
    <row r="6237" spans="1:4" x14ac:dyDescent="0.25">
      <c r="A6237" t="str">
        <f>T("   160413")</f>
        <v xml:space="preserve">   160413</v>
      </c>
      <c r="B6237" t="str">
        <f>T("   Préparations et conserves de sardines, sardinelles, sprats ou esprots, entiers ou en morceaux (à l'excl. des préparations et conserves de poissons hachés)")</f>
        <v xml:space="preserve">   Préparations et conserves de sardines, sardinelles, sprats ou esprots, entiers ou en morceaux (à l'excl. des préparations et conserves de poissons hachés)</v>
      </c>
      <c r="C6237">
        <v>4000000</v>
      </c>
      <c r="D6237">
        <v>31360</v>
      </c>
    </row>
    <row r="6238" spans="1:4" x14ac:dyDescent="0.25">
      <c r="A6238" t="str">
        <f>T("   180690")</f>
        <v xml:space="preserve">   180690</v>
      </c>
      <c r="B6238" t="str">
        <f>T("   Chocolat et autres préparations alimentaires contenant du cacao, en récipients ou en emballages immédiats d'un contenu &lt;= 2 kg (à l'excl. de la poudre de cacao et des produits présentés en tablettes, barres ou bâtons)")</f>
        <v xml:space="preserve">   Chocolat et autres préparations alimentaires contenant du cacao, en récipients ou en emballages immédiats d'un contenu &lt;= 2 kg (à l'excl. de la poudre de cacao et des produits présentés en tablettes, barres ou bâtons)</v>
      </c>
      <c r="C6238">
        <v>39069393</v>
      </c>
      <c r="D6238">
        <v>17280</v>
      </c>
    </row>
    <row r="6239" spans="1:4" x14ac:dyDescent="0.25">
      <c r="A6239" t="str">
        <f>T("   190110")</f>
        <v xml:space="preserve">   190110</v>
      </c>
      <c r="B6239" t="s">
        <v>47</v>
      </c>
      <c r="C6239">
        <v>32962673</v>
      </c>
      <c r="D6239">
        <v>15962</v>
      </c>
    </row>
    <row r="6240" spans="1:4" x14ac:dyDescent="0.25">
      <c r="A6240" t="str">
        <f>T("   190219")</f>
        <v xml:space="preserve">   190219</v>
      </c>
      <c r="B6240" t="str">
        <f>T("   PÂTES ALIMENTAIRES NON-CUITES NI FARCIES NI AUTREMENT PRÉPARÉES, NE CONTENANT PAS D'OEUFS")</f>
        <v xml:space="preserve">   PÂTES ALIMENTAIRES NON-CUITES NI FARCIES NI AUTREMENT PRÉPARÉES, NE CONTENANT PAS D'OEUFS</v>
      </c>
      <c r="C6240">
        <v>233164070</v>
      </c>
      <c r="D6240">
        <v>1140073.02</v>
      </c>
    </row>
    <row r="6241" spans="1:4" x14ac:dyDescent="0.25">
      <c r="A6241" t="str">
        <f>T("   190230")</f>
        <v xml:space="preserve">   190230</v>
      </c>
      <c r="B6241" t="str">
        <f>T("   Pâtes alimentaires, cuites ou autrement préparées (à l'excl. des pâtes alimentaires farcies)")</f>
        <v xml:space="preserve">   Pâtes alimentaires, cuites ou autrement préparées (à l'excl. des pâtes alimentaires farcies)</v>
      </c>
      <c r="C6241">
        <v>18089710</v>
      </c>
      <c r="D6241">
        <v>72000</v>
      </c>
    </row>
    <row r="6242" spans="1:4" x14ac:dyDescent="0.25">
      <c r="A6242" t="str">
        <f>T("   200290")</f>
        <v xml:space="preserve">   200290</v>
      </c>
      <c r="B6242"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6242">
        <v>11000000</v>
      </c>
      <c r="D6242">
        <v>70580</v>
      </c>
    </row>
    <row r="6243" spans="1:4" x14ac:dyDescent="0.25">
      <c r="A6243" t="str">
        <f>T("   200811")</f>
        <v xml:space="preserve">   200811</v>
      </c>
      <c r="B6243" t="str">
        <f>T("   Arachides, préparées ou conservées (sauf confites au sucre)")</f>
        <v xml:space="preserve">   Arachides, préparées ou conservées (sauf confites au sucre)</v>
      </c>
      <c r="C6243">
        <v>1000000</v>
      </c>
      <c r="D6243">
        <v>1600</v>
      </c>
    </row>
    <row r="6244" spans="1:4" x14ac:dyDescent="0.25">
      <c r="A6244" t="str">
        <f>T("   200949")</f>
        <v xml:space="preserve">   200949</v>
      </c>
      <c r="B6244" t="str">
        <f>T("   JUS D'ANANAS, NON-FERMENTÉS, SANS ADDITION D'ALCOOL, AVEC OU SANS ADDITION DE SUCRE OU D'AUTRES ÉDULCORANTS, D'UNE VALEUR BRIX &gt; 20 À 20°C")</f>
        <v xml:space="preserve">   JUS D'ANANAS, NON-FERMENTÉS, SANS ADDITION D'ALCOOL, AVEC OU SANS ADDITION DE SUCRE OU D'AUTRES ÉDULCORANTS, D'UNE VALEUR BRIX &gt; 20 À 20°C</v>
      </c>
      <c r="C6244">
        <v>3000000</v>
      </c>
      <c r="D6244">
        <v>18340</v>
      </c>
    </row>
    <row r="6245" spans="1:4" x14ac:dyDescent="0.25">
      <c r="A6245" t="str">
        <f>T("   200980")</f>
        <v xml:space="preserve">   200980</v>
      </c>
      <c r="B6245"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6245">
        <v>7145355</v>
      </c>
      <c r="D6245">
        <v>49620</v>
      </c>
    </row>
    <row r="6246" spans="1:4" x14ac:dyDescent="0.25">
      <c r="A6246" t="str">
        <f>T("   210390")</f>
        <v xml:space="preserve">   210390</v>
      </c>
      <c r="B6246"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6246">
        <v>10000000</v>
      </c>
      <c r="D6246">
        <v>86740</v>
      </c>
    </row>
    <row r="6247" spans="1:4" x14ac:dyDescent="0.25">
      <c r="A6247" t="str">
        <f>T("   210410")</f>
        <v xml:space="preserve">   210410</v>
      </c>
      <c r="B6247" t="str">
        <f>T("   Préparations pour soupes, potages ou bouillons; soupes, potages ou bouillons préparés")</f>
        <v xml:space="preserve">   Préparations pour soupes, potages ou bouillons; soupes, potages ou bouillons préparés</v>
      </c>
      <c r="C6247">
        <v>8000000</v>
      </c>
      <c r="D6247">
        <v>32500</v>
      </c>
    </row>
    <row r="6248" spans="1:4" x14ac:dyDescent="0.25">
      <c r="A6248" t="str">
        <f>T("   220290")</f>
        <v xml:space="preserve">   220290</v>
      </c>
      <c r="B6248" t="str">
        <f>T("   BOISSONS NON-ALCOOLIQUES (À L'EXCL. DES EAUX, DES JUS DE FRUITS OU DE LÉGUMES AINSI QUE DU LAIT)")</f>
        <v xml:space="preserve">   BOISSONS NON-ALCOOLIQUES (À L'EXCL. DES EAUX, DES JUS DE FRUITS OU DE LÉGUMES AINSI QUE DU LAIT)</v>
      </c>
      <c r="C6248">
        <v>10500000</v>
      </c>
      <c r="D6248">
        <v>66908</v>
      </c>
    </row>
    <row r="6249" spans="1:4" x14ac:dyDescent="0.25">
      <c r="A6249" t="str">
        <f>T("   220300")</f>
        <v xml:space="preserve">   220300</v>
      </c>
      <c r="B6249" t="str">
        <f>T("   Bières de malt")</f>
        <v xml:space="preserve">   Bières de malt</v>
      </c>
      <c r="C6249">
        <v>25616478</v>
      </c>
      <c r="D6249">
        <v>111168</v>
      </c>
    </row>
    <row r="6250" spans="1:4" x14ac:dyDescent="0.25">
      <c r="A6250" t="str">
        <f>T("   220890")</f>
        <v xml:space="preserve">   220890</v>
      </c>
      <c r="B6250" t="s">
        <v>61</v>
      </c>
      <c r="C6250">
        <v>3000000</v>
      </c>
      <c r="D6250">
        <v>1300</v>
      </c>
    </row>
    <row r="6251" spans="1:4" x14ac:dyDescent="0.25">
      <c r="A6251" t="str">
        <f>T("   230400")</f>
        <v xml:space="preserve">   230400</v>
      </c>
      <c r="B6251" t="str">
        <f>T("   Tourteaux et autres résidus solides, même broyés ou agglomérés sous forme de pellets, de l'extraction de l'huile de soja")</f>
        <v xml:space="preserve">   Tourteaux et autres résidus solides, même broyés ou agglomérés sous forme de pellets, de l'extraction de l'huile de soja</v>
      </c>
      <c r="C6251">
        <v>4400000</v>
      </c>
      <c r="D6251">
        <v>30000</v>
      </c>
    </row>
    <row r="6252" spans="1:4" x14ac:dyDescent="0.25">
      <c r="A6252" t="str">
        <f>T("   250100")</f>
        <v xml:space="preserve">   250100</v>
      </c>
      <c r="B6252" t="s">
        <v>63</v>
      </c>
      <c r="C6252">
        <v>42755368</v>
      </c>
      <c r="D6252">
        <v>954554</v>
      </c>
    </row>
    <row r="6253" spans="1:4" x14ac:dyDescent="0.25">
      <c r="A6253" t="str">
        <f>T("   271019")</f>
        <v xml:space="preserve">   271019</v>
      </c>
      <c r="B6253" t="str">
        <f>T("   Huiles moyennes et préparations, de pétrole ou de minéraux bitumineux, n.d.a.")</f>
        <v xml:space="preserve">   Huiles moyennes et préparations, de pétrole ou de minéraux bitumineux, n.d.a.</v>
      </c>
      <c r="C6253">
        <v>73856518</v>
      </c>
      <c r="D6253">
        <v>76919</v>
      </c>
    </row>
    <row r="6254" spans="1:4" x14ac:dyDescent="0.25">
      <c r="A6254" t="str">
        <f>T("   271113")</f>
        <v xml:space="preserve">   271113</v>
      </c>
      <c r="B6254" t="str">
        <f>T("   Butanes, liquéfiés (à l'excl. des butanes d'une pureté &gt;= 95% en n-butane ou en isobutane)")</f>
        <v xml:space="preserve">   Butanes, liquéfiés (à l'excl. des butanes d'une pureté &gt;= 95% en n-butane ou en isobutane)</v>
      </c>
      <c r="C6254">
        <v>177527505</v>
      </c>
      <c r="D6254">
        <v>449443</v>
      </c>
    </row>
    <row r="6255" spans="1:4" x14ac:dyDescent="0.25">
      <c r="A6255" t="str">
        <f>T("   280440")</f>
        <v xml:space="preserve">   280440</v>
      </c>
      <c r="B6255" t="str">
        <f>T("   Oxygène")</f>
        <v xml:space="preserve">   Oxygène</v>
      </c>
      <c r="C6255">
        <v>2271611</v>
      </c>
      <c r="D6255">
        <v>15525</v>
      </c>
    </row>
    <row r="6256" spans="1:4" x14ac:dyDescent="0.25">
      <c r="A6256" t="str">
        <f>T("   290312")</f>
        <v xml:space="preserve">   290312</v>
      </c>
      <c r="B6256" t="str">
        <f>T("   Dichlorométhane [chlorure de méthylène]")</f>
        <v xml:space="preserve">   Dichlorométhane [chlorure de méthylène]</v>
      </c>
      <c r="C6256">
        <v>7231230</v>
      </c>
      <c r="D6256">
        <v>18948</v>
      </c>
    </row>
    <row r="6257" spans="1:4" x14ac:dyDescent="0.25">
      <c r="A6257" t="str">
        <f>T("   300320")</f>
        <v xml:space="preserve">   300320</v>
      </c>
      <c r="B6257" t="s">
        <v>74</v>
      </c>
      <c r="C6257">
        <v>11145776</v>
      </c>
      <c r="D6257">
        <v>511.8</v>
      </c>
    </row>
    <row r="6258" spans="1:4" x14ac:dyDescent="0.25">
      <c r="A6258" t="str">
        <f>T("   300420")</f>
        <v xml:space="preserve">   300420</v>
      </c>
      <c r="B6258" t="s">
        <v>77</v>
      </c>
      <c r="C6258">
        <v>8780430</v>
      </c>
      <c r="D6258">
        <v>6648.4</v>
      </c>
    </row>
    <row r="6259" spans="1:4" x14ac:dyDescent="0.25">
      <c r="A6259" t="str">
        <f>T("   300439")</f>
        <v xml:space="preserve">   300439</v>
      </c>
      <c r="B6259" t="s">
        <v>78</v>
      </c>
      <c r="C6259">
        <v>250000</v>
      </c>
      <c r="D6259">
        <v>5044</v>
      </c>
    </row>
    <row r="6260" spans="1:4" x14ac:dyDescent="0.25">
      <c r="A6260" t="str">
        <f>T("   300490")</f>
        <v xml:space="preserve">   300490</v>
      </c>
      <c r="B6260" t="s">
        <v>80</v>
      </c>
      <c r="C6260">
        <v>89451657</v>
      </c>
      <c r="D6260">
        <v>72595</v>
      </c>
    </row>
    <row r="6261" spans="1:4" x14ac:dyDescent="0.25">
      <c r="A6261" t="str">
        <f>T("   320820")</f>
        <v xml:space="preserve">   320820</v>
      </c>
      <c r="B6261" t="s">
        <v>96</v>
      </c>
      <c r="C6261">
        <v>66525870</v>
      </c>
      <c r="D6261">
        <v>160620</v>
      </c>
    </row>
    <row r="6262" spans="1:4" x14ac:dyDescent="0.25">
      <c r="A6262" t="str">
        <f>T("   320890")</f>
        <v xml:space="preserve">   320890</v>
      </c>
      <c r="B6262" t="s">
        <v>97</v>
      </c>
      <c r="C6262">
        <v>24452893</v>
      </c>
      <c r="D6262">
        <v>63630</v>
      </c>
    </row>
    <row r="6263" spans="1:4" x14ac:dyDescent="0.25">
      <c r="A6263" t="str">
        <f>T("   320910")</f>
        <v xml:space="preserve">   320910</v>
      </c>
      <c r="B6263" t="str">
        <f>T("   Peintures et vernis à base de polymères acryliques ou vinyliques, dispersés ou dissous dans un milieu aqueux")</f>
        <v xml:space="preserve">   Peintures et vernis à base de polymères acryliques ou vinyliques, dispersés ou dissous dans un milieu aqueux</v>
      </c>
      <c r="C6263">
        <v>356987</v>
      </c>
      <c r="D6263">
        <v>10</v>
      </c>
    </row>
    <row r="6264" spans="1:4" x14ac:dyDescent="0.25">
      <c r="A6264" t="str">
        <f>T("   321410")</f>
        <v xml:space="preserve">   321410</v>
      </c>
      <c r="B6264" t="str">
        <f>T("   Mastic de vitrier, ciments de résine et autres mastics; enduits utilisés en peinture")</f>
        <v xml:space="preserve">   Mastic de vitrier, ciments de résine et autres mastics; enduits utilisés en peinture</v>
      </c>
      <c r="C6264">
        <v>7204776</v>
      </c>
      <c r="D6264">
        <v>70800</v>
      </c>
    </row>
    <row r="6265" spans="1:4" x14ac:dyDescent="0.25">
      <c r="A6265" t="str">
        <f>T("   330610")</f>
        <v xml:space="preserve">   330610</v>
      </c>
      <c r="B6265" t="str">
        <f>T("   Dentifrices, préparés, même des types utilisés par les dentistes")</f>
        <v xml:space="preserve">   Dentifrices, préparés, même des types utilisés par les dentistes</v>
      </c>
      <c r="C6265">
        <v>21500000</v>
      </c>
      <c r="D6265">
        <v>126398</v>
      </c>
    </row>
    <row r="6266" spans="1:4" x14ac:dyDescent="0.25">
      <c r="A6266" t="str">
        <f>T("   340111")</f>
        <v xml:space="preserve">   340111</v>
      </c>
      <c r="B6266" t="s">
        <v>102</v>
      </c>
      <c r="C6266">
        <v>8141790</v>
      </c>
      <c r="D6266">
        <v>64390</v>
      </c>
    </row>
    <row r="6267" spans="1:4" x14ac:dyDescent="0.25">
      <c r="A6267" t="str">
        <f>T("   340119")</f>
        <v xml:space="preserve">   340119</v>
      </c>
      <c r="B6267" t="s">
        <v>103</v>
      </c>
      <c r="C6267">
        <v>9924996</v>
      </c>
      <c r="D6267">
        <v>56610</v>
      </c>
    </row>
    <row r="6268" spans="1:4" x14ac:dyDescent="0.25">
      <c r="A6268" t="str">
        <f>T("   340120")</f>
        <v xml:space="preserve">   340120</v>
      </c>
      <c r="B6268" t="str">
        <f>T("   Savons en flocons, en paillettes, en granulés ou en poudres et savons liquides ou pâteux")</f>
        <v xml:space="preserve">   Savons en flocons, en paillettes, en granulés ou en poudres et savons liquides ou pâteux</v>
      </c>
      <c r="C6268">
        <v>251342</v>
      </c>
      <c r="D6268">
        <v>1440</v>
      </c>
    </row>
    <row r="6269" spans="1:4" x14ac:dyDescent="0.25">
      <c r="A6269" t="str">
        <f>T("   340220")</f>
        <v xml:space="preserve">   340220</v>
      </c>
      <c r="B6269" t="s">
        <v>104</v>
      </c>
      <c r="C6269">
        <v>2890447</v>
      </c>
      <c r="D6269">
        <v>13250</v>
      </c>
    </row>
    <row r="6270" spans="1:4" x14ac:dyDescent="0.25">
      <c r="A6270" t="str">
        <f>T("   340290")</f>
        <v xml:space="preserve">   340290</v>
      </c>
      <c r="B6270" t="s">
        <v>105</v>
      </c>
      <c r="C6270">
        <v>4000000</v>
      </c>
      <c r="D6270">
        <v>25870</v>
      </c>
    </row>
    <row r="6271" spans="1:4" x14ac:dyDescent="0.25">
      <c r="A6271" t="str">
        <f>T("   340600")</f>
        <v xml:space="preserve">   340600</v>
      </c>
      <c r="B6271" t="str">
        <f>T("   Bougies, chandelles, cierges et articles simil.")</f>
        <v xml:space="preserve">   Bougies, chandelles, cierges et articles simil.</v>
      </c>
      <c r="C6271">
        <v>5492954</v>
      </c>
      <c r="D6271">
        <v>34470</v>
      </c>
    </row>
    <row r="6272" spans="1:4" x14ac:dyDescent="0.25">
      <c r="A6272" t="str">
        <f>T("   380810")</f>
        <v xml:space="preserve">   380810</v>
      </c>
      <c r="B6272" t="str">
        <f>T("   Insecticides présentés dans des formes ou emballages de vente au détail ou à l'état de préparations ou sous forme d'articles")</f>
        <v xml:space="preserve">   Insecticides présentés dans des formes ou emballages de vente au détail ou à l'état de préparations ou sous forme d'articles</v>
      </c>
      <c r="C6272">
        <v>1000000</v>
      </c>
      <c r="D6272">
        <v>2200</v>
      </c>
    </row>
    <row r="6273" spans="1:4" x14ac:dyDescent="0.25">
      <c r="A6273" t="str">
        <f>T("   382590")</f>
        <v xml:space="preserve">   382590</v>
      </c>
      <c r="B6273" t="str">
        <f>T("   Produits résiduaires des industries chimiques ou des industries connexes, n.d.a. (à l'excl. des déchets)")</f>
        <v xml:space="preserve">   Produits résiduaires des industries chimiques ou des industries connexes, n.d.a. (à l'excl. des déchets)</v>
      </c>
      <c r="C6273">
        <v>6208848</v>
      </c>
      <c r="D6273">
        <v>1830</v>
      </c>
    </row>
    <row r="6274" spans="1:4" x14ac:dyDescent="0.25">
      <c r="A6274" t="str">
        <f>T("   391000")</f>
        <v xml:space="preserve">   391000</v>
      </c>
      <c r="B6274" t="str">
        <f>T("   Silicones sous formes primaires")</f>
        <v xml:space="preserve">   Silicones sous formes primaires</v>
      </c>
      <c r="C6274">
        <v>4517856</v>
      </c>
      <c r="D6274">
        <v>1050</v>
      </c>
    </row>
    <row r="6275" spans="1:4" x14ac:dyDescent="0.25">
      <c r="A6275" t="str">
        <f>T("   391721")</f>
        <v xml:space="preserve">   391721</v>
      </c>
      <c r="B6275" t="str">
        <f>T("   TUBES ET TUYAUX RIGIDES, EN POLYMÈRES DE L'ÉTHYLÈNE")</f>
        <v xml:space="preserve">   TUBES ET TUYAUX RIGIDES, EN POLYMÈRES DE L'ÉTHYLÈNE</v>
      </c>
      <c r="C6275">
        <v>203532522</v>
      </c>
      <c r="D6275">
        <v>185460</v>
      </c>
    </row>
    <row r="6276" spans="1:4" x14ac:dyDescent="0.25">
      <c r="A6276" t="str">
        <f>T("   391723")</f>
        <v xml:space="preserve">   391723</v>
      </c>
      <c r="B6276" t="str">
        <f>T("   TUBES ET TUYAUX RIGIDES, EN POLYMÈRES DU CHLORURE DE VINYLE")</f>
        <v xml:space="preserve">   TUBES ET TUYAUX RIGIDES, EN POLYMÈRES DU CHLORURE DE VINYLE</v>
      </c>
      <c r="C6276">
        <v>671500997</v>
      </c>
      <c r="D6276">
        <v>855115</v>
      </c>
    </row>
    <row r="6277" spans="1:4" x14ac:dyDescent="0.25">
      <c r="A6277" t="str">
        <f>T("   391739")</f>
        <v xml:space="preserve">   391739</v>
      </c>
      <c r="B6277" t="str">
        <f>T("   TUBES ET TUYAUX SOUPLES, EN MATIÈRES PLASTIQUES, RENFORCÉS D'AUTRES MATIÈRES OU ASSOCIÉS À D'AUTRES MATIÈRES (À L'EXCL. DES PRODUITS POUVANT SUPPORTER UNE PRESSION &gt;= 27,6 MPA)")</f>
        <v xml:space="preserve">   TUBES ET TUYAUX SOUPLES, EN MATIÈRES PLASTIQUES, RENFORCÉS D'AUTRES MATIÈRES OU ASSOCIÉS À D'AUTRES MATIÈRES (À L'EXCL. DES PRODUITS POUVANT SUPPORTER UNE PRESSION &gt;= 27,6 MPA)</v>
      </c>
      <c r="C6277">
        <v>500000</v>
      </c>
      <c r="D6277">
        <v>375</v>
      </c>
    </row>
    <row r="6278" spans="1:4" x14ac:dyDescent="0.25">
      <c r="A6278" t="str">
        <f>T("   392010")</f>
        <v xml:space="preserve">   392010</v>
      </c>
      <c r="B6278" t="s">
        <v>134</v>
      </c>
      <c r="C6278">
        <v>1114021</v>
      </c>
      <c r="D6278">
        <v>1000</v>
      </c>
    </row>
    <row r="6279" spans="1:4" x14ac:dyDescent="0.25">
      <c r="A6279" t="str">
        <f>T("   392321")</f>
        <v xml:space="preserve">   392321</v>
      </c>
      <c r="B6279" t="str">
        <f>T("   Sacs, sachets, pochettes et cornets, en polymères de l'éthylène")</f>
        <v xml:space="preserve">   Sacs, sachets, pochettes et cornets, en polymères de l'éthylène</v>
      </c>
      <c r="C6279">
        <v>1441650</v>
      </c>
      <c r="D6279">
        <v>2680</v>
      </c>
    </row>
    <row r="6280" spans="1:4" x14ac:dyDescent="0.25">
      <c r="A6280" t="str">
        <f>T("   392329")</f>
        <v xml:space="preserve">   392329</v>
      </c>
      <c r="B6280" t="str">
        <f>T("   Sacs, sachets, pochettes et cornets, en matières plastiques (autres que les polymères de l'éthylène)")</f>
        <v xml:space="preserve">   Sacs, sachets, pochettes et cornets, en matières plastiques (autres que les polymères de l'éthylène)</v>
      </c>
      <c r="C6280">
        <v>123489219</v>
      </c>
      <c r="D6280">
        <v>824722</v>
      </c>
    </row>
    <row r="6281" spans="1:4" x14ac:dyDescent="0.25">
      <c r="A6281" t="str">
        <f>T("   392330")</f>
        <v xml:space="preserve">   392330</v>
      </c>
      <c r="B6281" t="str">
        <f>T("   Bonbonnes, bouteilles, flacons et articles simil. pour le transport ou l'emballage, en matières plastiques")</f>
        <v xml:space="preserve">   Bonbonnes, bouteilles, flacons et articles simil. pour le transport ou l'emballage, en matières plastiques</v>
      </c>
      <c r="C6281">
        <v>47557499</v>
      </c>
      <c r="D6281">
        <v>40631</v>
      </c>
    </row>
    <row r="6282" spans="1:4" x14ac:dyDescent="0.25">
      <c r="A6282" t="str">
        <f>T("   392390")</f>
        <v xml:space="preserve">   392390</v>
      </c>
      <c r="B6282" t="s">
        <v>150</v>
      </c>
      <c r="C6282">
        <v>40670</v>
      </c>
      <c r="D6282">
        <v>10</v>
      </c>
    </row>
    <row r="6283" spans="1:4" x14ac:dyDescent="0.25">
      <c r="A6283" t="str">
        <f>T("   392410")</f>
        <v xml:space="preserve">   392410</v>
      </c>
      <c r="B6283" t="str">
        <f>T("   Vaisselle et autres articles pour le service de la table ou de la cuisine, en matières plastiques")</f>
        <v xml:space="preserve">   Vaisselle et autres articles pour le service de la table ou de la cuisine, en matières plastiques</v>
      </c>
      <c r="C6283">
        <v>11500000</v>
      </c>
      <c r="D6283">
        <v>24180</v>
      </c>
    </row>
    <row r="6284" spans="1:4" x14ac:dyDescent="0.25">
      <c r="A6284" t="str">
        <f>T("   392490")</f>
        <v xml:space="preserve">   392490</v>
      </c>
      <c r="B6284" t="s">
        <v>151</v>
      </c>
      <c r="C6284">
        <v>1700000</v>
      </c>
      <c r="D6284">
        <v>11600</v>
      </c>
    </row>
    <row r="6285" spans="1:4" x14ac:dyDescent="0.25">
      <c r="A6285" t="str">
        <f>T("   392520")</f>
        <v xml:space="preserve">   392520</v>
      </c>
      <c r="B6285" t="str">
        <f>T("   Portes, fenêtres et leurs cadres, chambranles et seuils, en matières plastiques")</f>
        <v xml:space="preserve">   Portes, fenêtres et leurs cadres, chambranles et seuils, en matières plastiques</v>
      </c>
      <c r="C6285">
        <v>776502</v>
      </c>
      <c r="D6285">
        <v>1224</v>
      </c>
    </row>
    <row r="6286" spans="1:4" x14ac:dyDescent="0.25">
      <c r="A6286" t="str">
        <f>T("   392590")</f>
        <v xml:space="preserve">   392590</v>
      </c>
      <c r="B6286" t="s">
        <v>152</v>
      </c>
      <c r="C6286">
        <v>8419372</v>
      </c>
      <c r="D6286">
        <v>6030</v>
      </c>
    </row>
    <row r="6287" spans="1:4" x14ac:dyDescent="0.25">
      <c r="A6287" t="str">
        <f>T("   392690")</f>
        <v xml:space="preserve">   392690</v>
      </c>
      <c r="B6287" t="str">
        <f>T("   Ouvrages en matières plastiques et ouvrages en autres matières du n° 3901 à 3914, n.d.a.")</f>
        <v xml:space="preserve">   Ouvrages en matières plastiques et ouvrages en autres matières du n° 3901 à 3914, n.d.a.</v>
      </c>
      <c r="C6287">
        <v>26900000</v>
      </c>
      <c r="D6287">
        <v>134307</v>
      </c>
    </row>
    <row r="6288" spans="1:4" x14ac:dyDescent="0.25">
      <c r="A6288" t="str">
        <f>T("   401110")</f>
        <v xml:space="preserve">   401110</v>
      </c>
      <c r="B6288"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6288">
        <v>296603</v>
      </c>
      <c r="D6288">
        <v>140</v>
      </c>
    </row>
    <row r="6289" spans="1:4" x14ac:dyDescent="0.25">
      <c r="A6289" t="str">
        <f>T("   401120")</f>
        <v xml:space="preserve">   401120</v>
      </c>
      <c r="B6289"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6289">
        <v>9750000</v>
      </c>
      <c r="D6289">
        <v>18570</v>
      </c>
    </row>
    <row r="6290" spans="1:4" x14ac:dyDescent="0.25">
      <c r="A6290" t="str">
        <f>T("   401211")</f>
        <v xml:space="preserve">   401211</v>
      </c>
      <c r="B6290" t="str">
        <f>T("   Pneumatiques rechapés, en caoutchouc, des types utilisés pour les voitures de tourisme, y.c. les voitures du type 'break' et les voitures de course")</f>
        <v xml:space="preserve">   Pneumatiques rechapés, en caoutchouc, des types utilisés pour les voitures de tourisme, y.c. les voitures du type 'break' et les voitures de course</v>
      </c>
      <c r="C6290">
        <v>1218000</v>
      </c>
      <c r="D6290">
        <v>2842</v>
      </c>
    </row>
    <row r="6291" spans="1:4" x14ac:dyDescent="0.25">
      <c r="A6291" t="str">
        <f>T("   401212")</f>
        <v xml:space="preserve">   401212</v>
      </c>
      <c r="B6291" t="str">
        <f>T("   Pneumatiques rechapés, en caoutchouc, des types utilisés pour les autobus ou camions")</f>
        <v xml:space="preserve">   Pneumatiques rechapés, en caoutchouc, des types utilisés pour les autobus ou camions</v>
      </c>
      <c r="C6291">
        <v>1820000</v>
      </c>
      <c r="D6291">
        <v>1820</v>
      </c>
    </row>
    <row r="6292" spans="1:4" x14ac:dyDescent="0.25">
      <c r="A6292" t="str">
        <f>T("   401219")</f>
        <v xml:space="preserve">   401219</v>
      </c>
      <c r="B6292" t="str">
        <f>T("   Pneumatiques rechapés, en caoutchouc (à l'excl. des pneumatiques des types utilisés pour les voitures de tourisme, les voitures du type 'break', les voitures de course, les autobus, les camions ou les véhicules aériens)")</f>
        <v xml:space="preserve">   Pneumatiques rechapés, en caoutchouc (à l'excl. des pneumatiques des types utilisés pour les voitures de tourisme, les voitures du type 'break', les voitures de course, les autobus, les camions ou les véhicules aériens)</v>
      </c>
      <c r="C6292">
        <v>65000</v>
      </c>
      <c r="D6292">
        <v>97</v>
      </c>
    </row>
    <row r="6293" spans="1:4" x14ac:dyDescent="0.25">
      <c r="A6293" t="str">
        <f>T("   401220")</f>
        <v xml:space="preserve">   401220</v>
      </c>
      <c r="B6293" t="str">
        <f>T("   Pneumatiques usagés, en caoutchouc")</f>
        <v xml:space="preserve">   Pneumatiques usagés, en caoutchouc</v>
      </c>
      <c r="C6293">
        <v>25137616</v>
      </c>
      <c r="D6293">
        <v>66057</v>
      </c>
    </row>
    <row r="6294" spans="1:4" x14ac:dyDescent="0.25">
      <c r="A6294" t="str">
        <f>T("   420212")</f>
        <v xml:space="preserve">   420212</v>
      </c>
      <c r="B6294" t="str">
        <f>T("   Malles, valises et mallettes, y.c. les mallettes de toilette et les mallettes porte-documents, serviettes, cartables et contenants simil., à surface extérieure en matières plastiques ou en matières textiles")</f>
        <v xml:space="preserve">   Malles, valises et mallettes, y.c. les mallettes de toilette et les mallettes porte-documents, serviettes, cartables et contenants simil., à surface extérieure en matières plastiques ou en matières textiles</v>
      </c>
      <c r="C6294">
        <v>1000000</v>
      </c>
      <c r="D6294">
        <v>2515</v>
      </c>
    </row>
    <row r="6295" spans="1:4" x14ac:dyDescent="0.25">
      <c r="A6295" t="str">
        <f>T("   420229")</f>
        <v xml:space="preserve">   420229</v>
      </c>
      <c r="B6295"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6295">
        <v>27500000</v>
      </c>
      <c r="D6295">
        <v>71400</v>
      </c>
    </row>
    <row r="6296" spans="1:4" x14ac:dyDescent="0.25">
      <c r="A6296" t="str">
        <f>T("   420330")</f>
        <v xml:space="preserve">   420330</v>
      </c>
      <c r="B6296" t="str">
        <f>T("   Ceintures, ceinturons et baudriers, en cuir naturel ou reconstitué")</f>
        <v xml:space="preserve">   Ceintures, ceinturons et baudriers, en cuir naturel ou reconstitué</v>
      </c>
      <c r="C6296">
        <v>637593</v>
      </c>
      <c r="D6296">
        <v>3800</v>
      </c>
    </row>
    <row r="6297" spans="1:4" x14ac:dyDescent="0.25">
      <c r="A6297" t="str">
        <f>T("   440890")</f>
        <v xml:space="preserve">   440890</v>
      </c>
      <c r="B6297" t="s">
        <v>172</v>
      </c>
      <c r="C6297">
        <v>118182042</v>
      </c>
      <c r="D6297">
        <v>474507</v>
      </c>
    </row>
    <row r="6298" spans="1:4" x14ac:dyDescent="0.25">
      <c r="A6298" t="str">
        <f>T("   441213")</f>
        <v xml:space="preserve">   441213</v>
      </c>
      <c r="B6298" t="s">
        <v>182</v>
      </c>
      <c r="C6298">
        <v>25704315</v>
      </c>
      <c r="D6298">
        <v>88034</v>
      </c>
    </row>
    <row r="6299" spans="1:4" x14ac:dyDescent="0.25">
      <c r="A6299" t="str">
        <f>T("   441219")</f>
        <v xml:space="preserve">   441219</v>
      </c>
      <c r="B6299" t="s">
        <v>183</v>
      </c>
      <c r="C6299">
        <v>95583224</v>
      </c>
      <c r="D6299">
        <v>210000</v>
      </c>
    </row>
    <row r="6300" spans="1:4" x14ac:dyDescent="0.25">
      <c r="A6300" t="str">
        <f>T("   441299")</f>
        <v xml:space="preserve">   441299</v>
      </c>
      <c r="B6300" t="s">
        <v>186</v>
      </c>
      <c r="C6300">
        <v>8838991</v>
      </c>
      <c r="D6300">
        <v>38500</v>
      </c>
    </row>
    <row r="6301" spans="1:4" x14ac:dyDescent="0.25">
      <c r="A6301" t="str">
        <f>T("   441300")</f>
        <v xml:space="preserve">   441300</v>
      </c>
      <c r="B6301" t="str">
        <f>T("   Bois dits 'densifiés', en blocs, planches, lames ou profilés")</f>
        <v xml:space="preserve">   Bois dits 'densifiés', en blocs, planches, lames ou profilés</v>
      </c>
      <c r="C6301">
        <v>364000</v>
      </c>
      <c r="D6301">
        <v>18220</v>
      </c>
    </row>
    <row r="6302" spans="1:4" x14ac:dyDescent="0.25">
      <c r="A6302" t="str">
        <f>T("   460199")</f>
        <v xml:space="preserve">   460199</v>
      </c>
      <c r="B6302" t="str">
        <f>T("   MATIÈRES À TRESSER, TRESSES ET ARTICLES SIMIL., EN MATIÈRES À TRESSER NON-VÉGÉTALES, TISSÉS OU PARALLÉLISÉS, À PLAT (À L'EXCL. DES REVÊTEMENTS MURAUX DU N° 4814 AINSI QUE DES PARTIES DE CHAUSSURES OU DE COIFFURES)")</f>
        <v xml:space="preserve">   MATIÈRES À TRESSER, TRESSES ET ARTICLES SIMIL., EN MATIÈRES À TRESSER NON-VÉGÉTALES, TISSÉS OU PARALLÉLISÉS, À PLAT (À L'EXCL. DES REVÊTEMENTS MURAUX DU N° 4814 AINSI QUE DES PARTIES DE CHAUSSURES OU DE COIFFURES)</v>
      </c>
      <c r="C6302">
        <v>1642790</v>
      </c>
      <c r="D6302">
        <v>790</v>
      </c>
    </row>
    <row r="6303" spans="1:4" x14ac:dyDescent="0.25">
      <c r="A6303" t="str">
        <f>T("   480439")</f>
        <v xml:space="preserve">   480439</v>
      </c>
      <c r="B6303" t="s">
        <v>200</v>
      </c>
      <c r="C6303">
        <v>1197272</v>
      </c>
      <c r="D6303">
        <v>1200</v>
      </c>
    </row>
    <row r="6304" spans="1:4" x14ac:dyDescent="0.25">
      <c r="A6304" t="str">
        <f>T("   481810")</f>
        <v xml:space="preserve">   481810</v>
      </c>
      <c r="B6304" t="str">
        <f>T("   Papier hygiénique, en rouleaux d'une largeur &lt;= 36 cm")</f>
        <v xml:space="preserve">   Papier hygiénique, en rouleaux d'une largeur &lt;= 36 cm</v>
      </c>
      <c r="C6304">
        <v>561200</v>
      </c>
      <c r="D6304">
        <v>5275</v>
      </c>
    </row>
    <row r="6305" spans="1:4" x14ac:dyDescent="0.25">
      <c r="A6305" t="str">
        <f>T("   481820")</f>
        <v xml:space="preserve">   481820</v>
      </c>
      <c r="B6305" t="str">
        <f>T("   Mouchoirs, serviettes à démaquiller et essuie-mains, en pâte à papier, papier, ouate de cellulose ou nappes de fibres de cellulose")</f>
        <v xml:space="preserve">   Mouchoirs, serviettes à démaquiller et essuie-mains, en pâte à papier, papier, ouate de cellulose ou nappes de fibres de cellulose</v>
      </c>
      <c r="C6305">
        <v>250000</v>
      </c>
      <c r="D6305">
        <v>1455</v>
      </c>
    </row>
    <row r="6306" spans="1:4" x14ac:dyDescent="0.25">
      <c r="A6306" t="str">
        <f>T("   481910")</f>
        <v xml:space="preserve">   481910</v>
      </c>
      <c r="B6306" t="str">
        <f>T("   Boîtes et caisses en papier ou en carton ondulé")</f>
        <v xml:space="preserve">   Boîtes et caisses en papier ou en carton ondulé</v>
      </c>
      <c r="C6306">
        <v>78017973</v>
      </c>
      <c r="D6306">
        <v>160699.20000000001</v>
      </c>
    </row>
    <row r="6307" spans="1:4" x14ac:dyDescent="0.25">
      <c r="A6307" t="str">
        <f>T("   481960")</f>
        <v xml:space="preserve">   481960</v>
      </c>
      <c r="B6307" t="str">
        <f>T("   Cartonnages de bureau, de magasin ou simil., rigides (à l'excl. des emballages)")</f>
        <v xml:space="preserve">   Cartonnages de bureau, de magasin ou simil., rigides (à l'excl. des emballages)</v>
      </c>
      <c r="C6307">
        <v>700000</v>
      </c>
      <c r="D6307">
        <v>10000</v>
      </c>
    </row>
    <row r="6308" spans="1:4" x14ac:dyDescent="0.25">
      <c r="A6308" t="str">
        <f>T("   491000")</f>
        <v xml:space="preserve">   491000</v>
      </c>
      <c r="B6308" t="str">
        <f>T("   Calendriers de tous genres, imprimés, y.c. les blocs de calendriers à effeuiller")</f>
        <v xml:space="preserve">   Calendriers de tous genres, imprimés, y.c. les blocs de calendriers à effeuiller</v>
      </c>
      <c r="C6308">
        <v>94458</v>
      </c>
      <c r="D6308">
        <v>338</v>
      </c>
    </row>
    <row r="6309" spans="1:4" x14ac:dyDescent="0.25">
      <c r="A6309" t="str">
        <f>T("   520851")</f>
        <v xml:space="preserve">   520851</v>
      </c>
      <c r="B6309" t="str">
        <f>T("   Tissus de coton, imprimés, à armure toile, contenant &gt;= 85% en poids de coton, d'un poids &lt;= 100 g/m²")</f>
        <v xml:space="preserve">   Tissus de coton, imprimés, à armure toile, contenant &gt;= 85% en poids de coton, d'un poids &lt;= 100 g/m²</v>
      </c>
      <c r="C6309">
        <v>52080000</v>
      </c>
      <c r="D6309">
        <v>86660</v>
      </c>
    </row>
    <row r="6310" spans="1:4" x14ac:dyDescent="0.25">
      <c r="A6310" t="str">
        <f>T("   520852")</f>
        <v xml:space="preserve">   520852</v>
      </c>
      <c r="B6310" t="str">
        <f>T("   Tissus de coton, imprimés, à armure toile, contenant &gt;= 85% en poids de coton, d'un poids &gt; 100 g/m² mais &lt;= 200 g/m²")</f>
        <v xml:space="preserve">   Tissus de coton, imprimés, à armure toile, contenant &gt;= 85% en poids de coton, d'un poids &gt; 100 g/m² mais &lt;= 200 g/m²</v>
      </c>
      <c r="C6310">
        <v>505539966</v>
      </c>
      <c r="D6310">
        <v>58978</v>
      </c>
    </row>
    <row r="6311" spans="1:4" x14ac:dyDescent="0.25">
      <c r="A6311" t="str">
        <f>T("   520859")</f>
        <v xml:space="preserve">   520859</v>
      </c>
      <c r="B6311" t="str">
        <f>T("   TISSUS DE COTON, IMPRIMÉS, CONTENANT &gt;= 85% EN POIDS DE COTON, D'UN POIDS &lt;= 200 G/M² (À L'EXCL. DES TISSUS À ARMURE TOILE)")</f>
        <v xml:space="preserve">   TISSUS DE COTON, IMPRIMÉS, CONTENANT &gt;= 85% EN POIDS DE COTON, D'UN POIDS &lt;= 200 G/M² (À L'EXCL. DES TISSUS À ARMURE TOILE)</v>
      </c>
      <c r="C6311">
        <v>6815508</v>
      </c>
      <c r="D6311">
        <v>2666</v>
      </c>
    </row>
    <row r="6312" spans="1:4" x14ac:dyDescent="0.25">
      <c r="A6312" t="str">
        <f>T("   520929")</f>
        <v xml:space="preserve">   520929</v>
      </c>
      <c r="B6312" t="str">
        <f>T("   Tissus de coton, blanchis, contenant &gt;= 85% en poids de coton, d'un poids &gt; 200 g/m² (à l'excl. des tissus à armure toile ou à armure sergé [y.c. le croisé] d'un rapport d'armure &lt;= 4)")</f>
        <v xml:space="preserve">   Tissus de coton, blanchis, contenant &gt;= 85% en poids de coton, d'un poids &gt; 200 g/m² (à l'excl. des tissus à armure toile ou à armure sergé [y.c. le croisé] d'un rapport d'armure &lt;= 4)</v>
      </c>
      <c r="C6312">
        <v>84240000</v>
      </c>
      <c r="D6312">
        <v>187040</v>
      </c>
    </row>
    <row r="6313" spans="1:4" x14ac:dyDescent="0.25">
      <c r="A6313" t="str">
        <f>T("   520951")</f>
        <v xml:space="preserve">   520951</v>
      </c>
      <c r="B6313" t="str">
        <f>T("   Tissus de coton, imprimés, à armure toile, contenant &gt;= 85% en poids de coton, d'un poids &gt; 200 g/m²")</f>
        <v xml:space="preserve">   Tissus de coton, imprimés, à armure toile, contenant &gt;= 85% en poids de coton, d'un poids &gt; 200 g/m²</v>
      </c>
      <c r="C6313">
        <v>1344383</v>
      </c>
      <c r="D6313">
        <v>301</v>
      </c>
    </row>
    <row r="6314" spans="1:4" x14ac:dyDescent="0.25">
      <c r="A6314" t="str">
        <f>T("   540774")</f>
        <v xml:space="preserve">   540774</v>
      </c>
      <c r="B6314" t="s">
        <v>229</v>
      </c>
      <c r="C6314">
        <v>18080000</v>
      </c>
      <c r="D6314">
        <v>42980</v>
      </c>
    </row>
    <row r="6315" spans="1:4" x14ac:dyDescent="0.25">
      <c r="A6315" t="str">
        <f>T("   551529")</f>
        <v xml:space="preserve">   551529</v>
      </c>
      <c r="B6315" t="s">
        <v>240</v>
      </c>
      <c r="C6315">
        <v>20800000</v>
      </c>
      <c r="D6315">
        <v>41240</v>
      </c>
    </row>
    <row r="6316" spans="1:4" x14ac:dyDescent="0.25">
      <c r="A6316" t="str">
        <f>T("   551623")</f>
        <v xml:space="preserve">   551623</v>
      </c>
      <c r="B6316" t="str">
        <f>T("   Tissus, en fils de diverses couleurs, de fibres artificielles discontinues, contenant en prédominance, mais &lt; 85% en poids de ces fibres, mélangés principalement ou uniquement avec des filaments synthétiques ou artificiels")</f>
        <v xml:space="preserve">   Tissus, en fils de diverses couleurs, de fibres artificielles discontinues, contenant en prédominance, mais &lt; 85% en poids de ces fibres, mélangés principalement ou uniquement avec des filaments synthétiques ou artificiels</v>
      </c>
      <c r="C6316">
        <v>12445615</v>
      </c>
      <c r="D6316">
        <v>5690</v>
      </c>
    </row>
    <row r="6317" spans="1:4" x14ac:dyDescent="0.25">
      <c r="A6317" t="str">
        <f>T("   610990")</f>
        <v xml:space="preserve">   610990</v>
      </c>
      <c r="B6317" t="str">
        <f>T("   T-shirts et maillots de corps, en bonneterie, de matières textiles (sauf de coton)")</f>
        <v xml:space="preserve">   T-shirts et maillots de corps, en bonneterie, de matières textiles (sauf de coton)</v>
      </c>
      <c r="C6317">
        <v>10800000</v>
      </c>
      <c r="D6317">
        <v>38160</v>
      </c>
    </row>
    <row r="6318" spans="1:4" x14ac:dyDescent="0.25">
      <c r="A6318" t="str">
        <f>T("   611190")</f>
        <v xml:space="preserve">   611190</v>
      </c>
      <c r="B6318" t="str">
        <f>T("   VÊTEMENTS ET ACCESSOIRES DU VÊTEMENT, EN BONNETERIE, DE MATIÈRES TEXTILES, POUR BÉBÉS (SAUF DE COTON, FIBRES SYNTHÉTIQUES ET SAUF BONNETS)")</f>
        <v xml:space="preserve">   VÊTEMENTS ET ACCESSOIRES DU VÊTEMENT, EN BONNETERIE, DE MATIÈRES TEXTILES, POUR BÉBÉS (SAUF DE COTON, FIBRES SYNTHÉTIQUES ET SAUF BONNETS)</v>
      </c>
      <c r="C6318">
        <v>10800000</v>
      </c>
      <c r="D6318">
        <v>33480</v>
      </c>
    </row>
    <row r="6319" spans="1:4" x14ac:dyDescent="0.25">
      <c r="A6319" t="str">
        <f>T("   620199")</f>
        <v xml:space="preserve">   620199</v>
      </c>
      <c r="B6319" t="s">
        <v>264</v>
      </c>
      <c r="C6319">
        <v>296603</v>
      </c>
      <c r="D6319">
        <v>250</v>
      </c>
    </row>
    <row r="6320" spans="1:4" x14ac:dyDescent="0.25">
      <c r="A6320" t="str">
        <f>T("   620510")</f>
        <v xml:space="preserve">   620510</v>
      </c>
      <c r="B6320" t="str">
        <f>T("   Chemises et chemisettes, de laine ou poils fins, pour hommes ou garçonnets (autres qu'en bonneterie et sauf chemises de nuit et gilets de corps)")</f>
        <v xml:space="preserve">   Chemises et chemisettes, de laine ou poils fins, pour hommes ou garçonnets (autres qu'en bonneterie et sauf chemises de nuit et gilets de corps)</v>
      </c>
      <c r="C6320">
        <v>1275000</v>
      </c>
      <c r="D6320">
        <v>31680</v>
      </c>
    </row>
    <row r="6321" spans="1:4" x14ac:dyDescent="0.25">
      <c r="A6321" t="str">
        <f>T("   630190")</f>
        <v xml:space="preserve">   630190</v>
      </c>
      <c r="B6321" t="s">
        <v>274</v>
      </c>
      <c r="C6321">
        <v>2609600</v>
      </c>
      <c r="D6321">
        <v>1255</v>
      </c>
    </row>
    <row r="6322" spans="1:4" x14ac:dyDescent="0.25">
      <c r="A6322" t="str">
        <f>T("   630229")</f>
        <v xml:space="preserve">   630229</v>
      </c>
      <c r="B6322" t="str">
        <f>T("   Linge de lit, de matières textiles, imprimé (autre que de coton, fibres synthétiques ou artificielles, autres qu'en bonneterie)")</f>
        <v xml:space="preserve">   Linge de lit, de matières textiles, imprimé (autre que de coton, fibres synthétiques ou artificielles, autres qu'en bonneterie)</v>
      </c>
      <c r="C6322">
        <v>10800000</v>
      </c>
      <c r="D6322">
        <v>25180</v>
      </c>
    </row>
    <row r="6323" spans="1:4" x14ac:dyDescent="0.25">
      <c r="A6323" t="str">
        <f>T("   630491")</f>
        <v xml:space="preserve">   630491</v>
      </c>
      <c r="B6323" t="s">
        <v>275</v>
      </c>
      <c r="C6323">
        <v>467684</v>
      </c>
      <c r="D6323">
        <v>225</v>
      </c>
    </row>
    <row r="6324" spans="1:4" x14ac:dyDescent="0.25">
      <c r="A6324" t="str">
        <f>T("   630510")</f>
        <v xml:space="preserve">   630510</v>
      </c>
      <c r="B6324" t="str">
        <f>T("   Sacs et sachets d'emballage de jute ou d'autres fibres textiles libériennes du n° 5303")</f>
        <v xml:space="preserve">   Sacs et sachets d'emballage de jute ou d'autres fibres textiles libériennes du n° 5303</v>
      </c>
      <c r="C6324">
        <v>3475000</v>
      </c>
      <c r="D6324">
        <v>102840</v>
      </c>
    </row>
    <row r="6325" spans="1:4" x14ac:dyDescent="0.25">
      <c r="A6325" t="str">
        <f>T("   630590")</f>
        <v xml:space="preserve">   630590</v>
      </c>
      <c r="B6325" t="str">
        <f>T("   Sacs et sachets d'emballage de matières textiles (autres qu'en matières textiles synthétiques ou artificielles, coton, jute ou autres fibres textiles libérienne du n° 5303)")</f>
        <v xml:space="preserve">   Sacs et sachets d'emballage de matières textiles (autres qu'en matières textiles synthétiques ou artificielles, coton, jute ou autres fibres textiles libérienne du n° 5303)</v>
      </c>
      <c r="C6325">
        <v>6300098</v>
      </c>
      <c r="D6325">
        <v>14000</v>
      </c>
    </row>
    <row r="6326" spans="1:4" x14ac:dyDescent="0.25">
      <c r="A6326" t="str">
        <f>T("   630900")</f>
        <v xml:space="preserve">   630900</v>
      </c>
      <c r="B6326" t="s">
        <v>278</v>
      </c>
      <c r="C6326">
        <v>103157826</v>
      </c>
      <c r="D6326">
        <v>204474</v>
      </c>
    </row>
    <row r="6327" spans="1:4" x14ac:dyDescent="0.25">
      <c r="A6327" t="str">
        <f>T("   640220")</f>
        <v xml:space="preserve">   640220</v>
      </c>
      <c r="B6327" t="str">
        <f>T("   Chaussures à semelles extérieures et dessus en caoutchouc ou en matière plastique, à dessus en lanières ou brides fixées à la semelle par des tétons (sauf chaussures ayant le caractère de jouets)")</f>
        <v xml:space="preserve">   Chaussures à semelles extérieures et dessus en caoutchouc ou en matière plastique, à dessus en lanières ou brides fixées à la semelle par des tétons (sauf chaussures ayant le caractère de jouets)</v>
      </c>
      <c r="C6327">
        <v>500000</v>
      </c>
      <c r="D6327">
        <v>1800</v>
      </c>
    </row>
    <row r="6328" spans="1:4" x14ac:dyDescent="0.25">
      <c r="A6328" t="str">
        <f>T("   640590")</f>
        <v xml:space="preserve">   640590</v>
      </c>
      <c r="B6328" t="s">
        <v>289</v>
      </c>
      <c r="C6328">
        <v>1310000</v>
      </c>
      <c r="D6328">
        <v>8620</v>
      </c>
    </row>
    <row r="6329" spans="1:4" x14ac:dyDescent="0.25">
      <c r="A6329" t="str">
        <f>T("   660110")</f>
        <v xml:space="preserve">   660110</v>
      </c>
      <c r="B6329" t="str">
        <f>T("   Parasols de jardin et articles simil. (sauf tentes de plage)")</f>
        <v xml:space="preserve">   Parasols de jardin et articles simil. (sauf tentes de plage)</v>
      </c>
      <c r="C6329">
        <v>200068</v>
      </c>
      <c r="D6329">
        <v>401</v>
      </c>
    </row>
    <row r="6330" spans="1:4" x14ac:dyDescent="0.25">
      <c r="A6330" t="str">
        <f>T("   660199")</f>
        <v xml:space="preserve">   660199</v>
      </c>
      <c r="B6330" t="str">
        <f>T("   Parapluies, y.c. les parapluies-cannes et ombrelles (sauf parapluies et ombrelles à mât ou à manche télescopique, parasols de jardin et articles simil. et sauf jouets d'enfants)")</f>
        <v xml:space="preserve">   Parapluies, y.c. les parapluies-cannes et ombrelles (sauf parapluies et ombrelles à mât ou à manche télescopique, parasols de jardin et articles simil. et sauf jouets d'enfants)</v>
      </c>
      <c r="C6330">
        <v>1000883</v>
      </c>
      <c r="D6330">
        <v>3200</v>
      </c>
    </row>
    <row r="6331" spans="1:4" x14ac:dyDescent="0.25">
      <c r="A6331" t="str">
        <f>T("   700490")</f>
        <v xml:space="preserve">   700490</v>
      </c>
      <c r="B6331" t="str">
        <f>T("   FEUILLES EN VERRE ÉTIRÉ OU SOUFFLÉ MAIS NON AUTREMENT TRAVAILLÉ (AUTRES QU'EN VERRE COLORÉ DANS LA MASSE, OPACIFIÉ, PLAQUÉ [DOUBLÉ], OU À COUCHE ABSORBANTE, RÉFLÉCHISSANTE OU NON-RÉFLÉCHISSANTE)")</f>
        <v xml:space="preserve">   FEUILLES EN VERRE ÉTIRÉ OU SOUFFLÉ MAIS NON AUTREMENT TRAVAILLÉ (AUTRES QU'EN VERRE COLORÉ DANS LA MASSE, OPACIFIÉ, PLAQUÉ [DOUBLÉ], OU À COUCHE ABSORBANTE, RÉFLÉCHISSANTE OU NON-RÉFLÉCHISSANTE)</v>
      </c>
      <c r="C6331">
        <v>6599630</v>
      </c>
      <c r="D6331">
        <v>107360</v>
      </c>
    </row>
    <row r="6332" spans="1:4" x14ac:dyDescent="0.25">
      <c r="A6332" t="str">
        <f>T("   711319")</f>
        <v xml:space="preserve">   711319</v>
      </c>
      <c r="B6332" t="str">
        <f>T("   Articles de bijouterie ou de joaillerie et leurs parties, en métaux précieux autres que l'argent, même revêtus, plaqués ou doublés de métaux précieux (sauf &gt; 100 ans)")</f>
        <v xml:space="preserve">   Articles de bijouterie ou de joaillerie et leurs parties, en métaux précieux autres que l'argent, même revêtus, plaqués ou doublés de métaux précieux (sauf &gt; 100 ans)</v>
      </c>
      <c r="C6332">
        <v>625983</v>
      </c>
      <c r="D6332">
        <v>51</v>
      </c>
    </row>
    <row r="6333" spans="1:4" x14ac:dyDescent="0.25">
      <c r="A6333" t="str">
        <f>T("   721049")</f>
        <v xml:space="preserve">   721049</v>
      </c>
      <c r="B6333" t="str">
        <f>T("   Produits laminés plats, en fer ou en aciers non alliés, d'une largeur &gt;= 600 mm, laminés à chaud ou à froid, zingués, non ondulés (à l'excl. des produits zingués électrolytiquement)")</f>
        <v xml:space="preserve">   Produits laminés plats, en fer ou en aciers non alliés, d'une largeur &gt;= 600 mm, laminés à chaud ou à froid, zingués, non ondulés (à l'excl. des produits zingués électrolytiquement)</v>
      </c>
      <c r="C6333">
        <v>44622484</v>
      </c>
      <c r="D6333">
        <v>167000</v>
      </c>
    </row>
    <row r="6334" spans="1:4" x14ac:dyDescent="0.25">
      <c r="A6334" t="str">
        <f>T("   721420")</f>
        <v xml:space="preserve">   721420</v>
      </c>
      <c r="B6334" t="str">
        <f>T("   BARRES EN FER OU EN ACIERS NON ALLIÉS, COMPORTANT DES INDENTATIONS, BOURRELETS, CREUX OU RELIEFS OBTENUS AU COURS DU LAMINAGE OU AYANT SUBI UNE TORSION APRÈS LAMINAGE")</f>
        <v xml:space="preserve">   BARRES EN FER OU EN ACIERS NON ALLIÉS, COMPORTANT DES INDENTATIONS, BOURRELETS, CREUX OU RELIEFS OBTENUS AU COURS DU LAMINAGE OU AYANT SUBI UNE TORSION APRÈS LAMINAGE</v>
      </c>
      <c r="C6334">
        <v>21093024</v>
      </c>
      <c r="D6334">
        <v>85000</v>
      </c>
    </row>
    <row r="6335" spans="1:4" x14ac:dyDescent="0.25">
      <c r="A6335" t="str">
        <f>T("   721499")</f>
        <v xml:space="preserve">   721499</v>
      </c>
      <c r="B6335" t="s">
        <v>346</v>
      </c>
      <c r="C6335">
        <v>9454171</v>
      </c>
      <c r="D6335">
        <v>35000</v>
      </c>
    </row>
    <row r="6336" spans="1:4" x14ac:dyDescent="0.25">
      <c r="A6336" t="str">
        <f>T("   730410")</f>
        <v xml:space="preserve">   730410</v>
      </c>
      <c r="B6336" t="str">
        <f>T("   Tubes et tuyaux sans soudure, en fer (à l'excl. de la fonte) ou en acier, des types utilisés pour oléoducs ou gazoducs")</f>
        <v xml:space="preserve">   Tubes et tuyaux sans soudure, en fer (à l'excl. de la fonte) ou en acier, des types utilisés pour oléoducs ou gazoducs</v>
      </c>
      <c r="C6336">
        <v>6721235</v>
      </c>
      <c r="D6336">
        <v>6425</v>
      </c>
    </row>
    <row r="6337" spans="1:4" x14ac:dyDescent="0.25">
      <c r="A6337" t="str">
        <f>T("   730610")</f>
        <v xml:space="preserve">   730610</v>
      </c>
      <c r="B6337" t="str">
        <f>T("   Tubes et tuyaux des types utilisés pour oléoducs ou gazoducs, en produits laminés plats en fer ou en acier, d'un diamètre extérieur &lt;= 406,4 mm")</f>
        <v xml:space="preserve">   Tubes et tuyaux des types utilisés pour oléoducs ou gazoducs, en produits laminés plats en fer ou en acier, d'un diamètre extérieur &lt;= 406,4 mm</v>
      </c>
      <c r="C6337">
        <v>18470513</v>
      </c>
      <c r="D6337">
        <v>2916</v>
      </c>
    </row>
    <row r="6338" spans="1:4" x14ac:dyDescent="0.25">
      <c r="A6338" t="str">
        <f>T("   730630")</f>
        <v xml:space="preserve">   730630</v>
      </c>
      <c r="B6338" t="s">
        <v>351</v>
      </c>
      <c r="C6338">
        <v>36306141</v>
      </c>
      <c r="D6338">
        <v>140000</v>
      </c>
    </row>
    <row r="6339" spans="1:4" x14ac:dyDescent="0.25">
      <c r="A6339" t="str">
        <f>T("   730690")</f>
        <v xml:space="preserve">   730690</v>
      </c>
      <c r="B6339" t="str">
        <f>T("   Tubes, tuyaux et profilés creux [p.ex. rivés, agrafés ou à bords simplement rapprochés], en fer ou en acier (sauf tubes sans soudure ou soudés et tubes de sections intérieure et extérieure circulaires et d'un diamètre extérieur &gt; 406,4 mm)")</f>
        <v xml:space="preserve">   Tubes, tuyaux et profilés creux [p.ex. rivés, agrafés ou à bords simplement rapprochés], en fer ou en acier (sauf tubes sans soudure ou soudés et tubes de sections intérieure et extérieure circulaires et d'un diamètre extérieur &gt; 406,4 mm)</v>
      </c>
      <c r="C6339">
        <v>1239810</v>
      </c>
      <c r="D6339">
        <v>3455</v>
      </c>
    </row>
    <row r="6340" spans="1:4" x14ac:dyDescent="0.25">
      <c r="A6340" t="str">
        <f>T("   732392")</f>
        <v xml:space="preserve">   732392</v>
      </c>
      <c r="B6340" t="s">
        <v>365</v>
      </c>
      <c r="C6340">
        <v>20300000</v>
      </c>
      <c r="D6340">
        <v>58190</v>
      </c>
    </row>
    <row r="6341" spans="1:4" x14ac:dyDescent="0.25">
      <c r="A6341" t="str">
        <f>T("   732393")</f>
        <v xml:space="preserve">   732393</v>
      </c>
      <c r="B6341" t="s">
        <v>366</v>
      </c>
      <c r="C6341">
        <v>5302605</v>
      </c>
      <c r="D6341">
        <v>2550</v>
      </c>
    </row>
    <row r="6342" spans="1:4" x14ac:dyDescent="0.25">
      <c r="A6342" t="str">
        <f>T("   732399")</f>
        <v xml:space="preserve">   732399</v>
      </c>
      <c r="B6342" t="s">
        <v>368</v>
      </c>
      <c r="C6342">
        <v>29498000</v>
      </c>
      <c r="D6342">
        <v>119360</v>
      </c>
    </row>
    <row r="6343" spans="1:4" x14ac:dyDescent="0.25">
      <c r="A6343" t="str">
        <f>T("   732690")</f>
        <v xml:space="preserve">   732690</v>
      </c>
      <c r="B6343"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6343">
        <v>10189491</v>
      </c>
      <c r="D6343">
        <v>4900</v>
      </c>
    </row>
    <row r="6344" spans="1:4" x14ac:dyDescent="0.25">
      <c r="A6344" t="str">
        <f>T("   760611")</f>
        <v xml:space="preserve">   760611</v>
      </c>
      <c r="B6344" t="str">
        <f>T("   TÔLES ET BANDES EN ALUMINIUM NON-ALLIÉ, D'UNE ÉPAISSEUR &gt; 0,2 MM, DE FORME CARRÉE OU RECTANGULAIRE (SAUF TÔLES ET BANDES DÉPLOYÉES)")</f>
        <v xml:space="preserve">   TÔLES ET BANDES EN ALUMINIUM NON-ALLIÉ, D'UNE ÉPAISSEUR &gt; 0,2 MM, DE FORME CARRÉE OU RECTANGULAIRE (SAUF TÔLES ET BANDES DÉPLOYÉES)</v>
      </c>
      <c r="C6344">
        <v>800000</v>
      </c>
      <c r="D6344">
        <v>4758</v>
      </c>
    </row>
    <row r="6345" spans="1:4" x14ac:dyDescent="0.25">
      <c r="A6345" t="str">
        <f>T("   761290")</f>
        <v xml:space="preserve">   761290</v>
      </c>
      <c r="B6345" t="str">
        <f>T("   Réservoirs, fûts, tambours, bidons, boîtes et récipients simil., en aluminium, y.c. les étuis tubulaires rigides, pour toutes matières, sauf gaz comprimés ou liquéfiés, d'une contenance &lt;= 300 l, n.d.a.")</f>
        <v xml:space="preserve">   Réservoirs, fûts, tambours, bidons, boîtes et récipients simil., en aluminium, y.c. les étuis tubulaires rigides, pour toutes matières, sauf gaz comprimés ou liquéfiés, d'une contenance &lt;= 300 l, n.d.a.</v>
      </c>
      <c r="C6345">
        <v>3000000</v>
      </c>
      <c r="D6345">
        <v>4160</v>
      </c>
    </row>
    <row r="6346" spans="1:4" x14ac:dyDescent="0.25">
      <c r="A6346" t="str">
        <f>T("   761610")</f>
        <v xml:space="preserve">   761610</v>
      </c>
      <c r="B6346" t="s">
        <v>374</v>
      </c>
      <c r="C6346">
        <v>100000</v>
      </c>
      <c r="D6346">
        <v>240</v>
      </c>
    </row>
    <row r="6347" spans="1:4" x14ac:dyDescent="0.25">
      <c r="A6347" t="str">
        <f>T("   840790")</f>
        <v xml:space="preserve">   840790</v>
      </c>
      <c r="B6347" t="s">
        <v>391</v>
      </c>
      <c r="C6347">
        <v>43668</v>
      </c>
      <c r="D6347">
        <v>14</v>
      </c>
    </row>
    <row r="6348" spans="1:4" x14ac:dyDescent="0.25">
      <c r="A6348" t="str">
        <f>T("   841381")</f>
        <v xml:space="preserve">   841381</v>
      </c>
      <c r="B6348" t="s">
        <v>397</v>
      </c>
      <c r="C6348">
        <v>274030</v>
      </c>
      <c r="D6348">
        <v>500</v>
      </c>
    </row>
    <row r="6349" spans="1:4" x14ac:dyDescent="0.25">
      <c r="A6349" t="str">
        <f>T("   841451")</f>
        <v xml:space="preserve">   841451</v>
      </c>
      <c r="B6349" t="str">
        <f>T("   Ventilateurs de table, de sol, muraux, plafonniers, de toitures ou de fenêtres, à moteur électrique incorporé, d'une puissance &lt;= 125 W")</f>
        <v xml:space="preserve">   Ventilateurs de table, de sol, muraux, plafonniers, de toitures ou de fenêtres, à moteur électrique incorporé, d'une puissance &lt;= 125 W</v>
      </c>
      <c r="C6349">
        <v>6918135</v>
      </c>
      <c r="D6349">
        <v>16070</v>
      </c>
    </row>
    <row r="6350" spans="1:4" x14ac:dyDescent="0.25">
      <c r="A6350" t="str">
        <f>T("   842649")</f>
        <v xml:space="preserve">   842649</v>
      </c>
      <c r="B6350" t="str">
        <f>T("   Bigues et chariots-grues et appareils autopropulsés (autres que sur pneumatiques et sauf chariots-cavaliers)")</f>
        <v xml:space="preserve">   Bigues et chariots-grues et appareils autopropulsés (autres que sur pneumatiques et sauf chariots-cavaliers)</v>
      </c>
      <c r="C6350">
        <v>14424068</v>
      </c>
      <c r="D6350">
        <v>57820</v>
      </c>
    </row>
    <row r="6351" spans="1:4" x14ac:dyDescent="0.25">
      <c r="A6351" t="str">
        <f>T("   842940")</f>
        <v xml:space="preserve">   842940</v>
      </c>
      <c r="B6351" t="str">
        <f>T("   Rouleaux compresseurs et autres compacteuses, autopropulsés")</f>
        <v xml:space="preserve">   Rouleaux compresseurs et autres compacteuses, autopropulsés</v>
      </c>
      <c r="C6351">
        <v>66313680</v>
      </c>
      <c r="D6351">
        <v>145000</v>
      </c>
    </row>
    <row r="6352" spans="1:4" x14ac:dyDescent="0.25">
      <c r="A6352" t="str">
        <f>T("   842959")</f>
        <v xml:space="preserve">   842959</v>
      </c>
      <c r="B6352"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6352">
        <v>14785980</v>
      </c>
      <c r="D6352">
        <v>45000</v>
      </c>
    </row>
    <row r="6353" spans="1:4" x14ac:dyDescent="0.25">
      <c r="A6353" t="str">
        <f>T("   843049")</f>
        <v xml:space="preserve">   843049</v>
      </c>
      <c r="B6353" t="str">
        <f>T("   Machines de sondage ou de forage de la terre, des minéraux ou des minerais non autopropulsées et non hydrauliques (à l'excl. des machines à creuser les tunnels et autres machines à creuser les galeries, et sauf outillage pour emploi à la main)")</f>
        <v xml:space="preserve">   Machines de sondage ou de forage de la terre, des minéraux ou des minerais non autopropulsées et non hydrauliques (à l'excl. des machines à creuser les tunnels et autres machines à creuser les galeries, et sauf outillage pour emploi à la main)</v>
      </c>
      <c r="C6353">
        <v>1394180</v>
      </c>
      <c r="D6353">
        <v>2000</v>
      </c>
    </row>
    <row r="6354" spans="1:4" x14ac:dyDescent="0.25">
      <c r="A6354" t="str">
        <f>T("   843143")</f>
        <v xml:space="preserve">   843143</v>
      </c>
      <c r="B6354" t="str">
        <f>T("   Parties de machines de sondage ou de forage du n° 8430.41 ou 8430.49, n.d.a.")</f>
        <v xml:space="preserve">   Parties de machines de sondage ou de forage du n° 8430.41 ou 8430.49, n.d.a.</v>
      </c>
      <c r="C6354">
        <v>722090</v>
      </c>
      <c r="D6354">
        <v>2000</v>
      </c>
    </row>
    <row r="6355" spans="1:4" x14ac:dyDescent="0.25">
      <c r="A6355" t="str">
        <f>T("   846390")</f>
        <v xml:space="preserve">   846390</v>
      </c>
      <c r="B6355" t="s">
        <v>430</v>
      </c>
      <c r="C6355">
        <v>731858</v>
      </c>
      <c r="D6355">
        <v>1500</v>
      </c>
    </row>
    <row r="6356" spans="1:4" x14ac:dyDescent="0.25">
      <c r="A6356" t="str">
        <f>T("   846591")</f>
        <v xml:space="preserve">   846591</v>
      </c>
      <c r="B6356" t="str">
        <f>T("   Machines à scier, pour le travail du bois, des matières plastiques dures, etc. (autres que pour emploi à la main)")</f>
        <v xml:space="preserve">   Machines à scier, pour le travail du bois, des matières plastiques dures, etc. (autres que pour emploi à la main)</v>
      </c>
      <c r="C6356">
        <v>10644494</v>
      </c>
      <c r="D6356">
        <v>17000</v>
      </c>
    </row>
    <row r="6357" spans="1:4" x14ac:dyDescent="0.25">
      <c r="A6357" t="str">
        <f>T("   847180")</f>
        <v xml:space="preserve">   847180</v>
      </c>
      <c r="B6357"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6357">
        <v>20359983</v>
      </c>
      <c r="D6357">
        <v>1027</v>
      </c>
    </row>
    <row r="6358" spans="1:4" x14ac:dyDescent="0.25">
      <c r="A6358" t="str">
        <f>T("   847190")</f>
        <v xml:space="preserve">   847190</v>
      </c>
      <c r="B6358"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6358">
        <v>1462976</v>
      </c>
      <c r="D6358">
        <v>70</v>
      </c>
    </row>
    <row r="6359" spans="1:4" x14ac:dyDescent="0.25">
      <c r="A6359" t="str">
        <f>T("   847431")</f>
        <v xml:space="preserve">   847431</v>
      </c>
      <c r="B6359" t="str">
        <f>T("   Bétonnières et appareils à gâcher le ciment (sauf montés sur wagons de chemins de fer ou sur châssis de véhicules automobiles)")</f>
        <v xml:space="preserve">   Bétonnières et appareils à gâcher le ciment (sauf montés sur wagons de chemins de fer ou sur châssis de véhicules automobiles)</v>
      </c>
      <c r="C6359">
        <v>1957385</v>
      </c>
      <c r="D6359">
        <v>4800</v>
      </c>
    </row>
    <row r="6360" spans="1:4" x14ac:dyDescent="0.25">
      <c r="A6360" t="str">
        <f>T("   850220")</f>
        <v xml:space="preserve">   850220</v>
      </c>
      <c r="B6360" t="s">
        <v>451</v>
      </c>
      <c r="C6360">
        <v>1000000</v>
      </c>
      <c r="D6360">
        <v>1047</v>
      </c>
    </row>
    <row r="6361" spans="1:4" x14ac:dyDescent="0.25">
      <c r="A6361" t="str">
        <f>T("   850780")</f>
        <v xml:space="preserve">   850780</v>
      </c>
      <c r="B6361" t="str">
        <f>T("   Accumulateurs électriques (sauf hors d'usage et autres qu'au plomb, au nickel-cadmium ou au nickel-fer)")</f>
        <v xml:space="preserve">   Accumulateurs électriques (sauf hors d'usage et autres qu'au plomb, au nickel-cadmium ou au nickel-fer)</v>
      </c>
      <c r="C6361">
        <v>1524211</v>
      </c>
      <c r="D6361">
        <v>76</v>
      </c>
    </row>
    <row r="6362" spans="1:4" x14ac:dyDescent="0.25">
      <c r="A6362" t="str">
        <f>T("   851529")</f>
        <v xml:space="preserve">   851529</v>
      </c>
      <c r="B6362" t="str">
        <f>T("   MACHINES ET APPAREILS POUR LE SOUDAGE DES MÉTAUX PAR RÉSISTANCE, NON-AUTOMATIQUES")</f>
        <v xml:space="preserve">   MACHINES ET APPAREILS POUR LE SOUDAGE DES MÉTAUX PAR RÉSISTANCE, NON-AUTOMATIQUES</v>
      </c>
      <c r="C6362">
        <v>43668</v>
      </c>
      <c r="D6362">
        <v>10</v>
      </c>
    </row>
    <row r="6363" spans="1:4" x14ac:dyDescent="0.25">
      <c r="A6363" t="str">
        <f>T("   851539")</f>
        <v xml:space="preserve">   851539</v>
      </c>
      <c r="B6363" t="str">
        <f>T("   MACHINES ET APPAREILS POUR LE SOUDAGE DES MÉTAUX À L'ARC OU AU JET DE PLASMA, NON-AUTOMATIQUES")</f>
        <v xml:space="preserve">   MACHINES ET APPAREILS POUR LE SOUDAGE DES MÉTAUX À L'ARC OU AU JET DE PLASMA, NON-AUTOMATIQUES</v>
      </c>
      <c r="C6363">
        <v>5219052</v>
      </c>
      <c r="D6363">
        <v>1105</v>
      </c>
    </row>
    <row r="6364" spans="1:4" x14ac:dyDescent="0.25">
      <c r="A6364" t="str">
        <f>T("   851780")</f>
        <v xml:space="preserve">   851780</v>
      </c>
      <c r="B6364" t="s">
        <v>458</v>
      </c>
      <c r="C6364">
        <v>6839729</v>
      </c>
      <c r="D6364">
        <v>70.5</v>
      </c>
    </row>
    <row r="6365" spans="1:4" x14ac:dyDescent="0.25">
      <c r="A6365" t="str">
        <f>T("   851830")</f>
        <v xml:space="preserve">   851830</v>
      </c>
      <c r="B6365" t="s">
        <v>460</v>
      </c>
      <c r="C6365">
        <v>310000</v>
      </c>
      <c r="D6365">
        <v>545</v>
      </c>
    </row>
    <row r="6366" spans="1:4" x14ac:dyDescent="0.25">
      <c r="A6366" t="str">
        <f>T("   852090")</f>
        <v xml:space="preserve">   852090</v>
      </c>
      <c r="B6366" t="str">
        <f>T("   Appareils d'enregistrement du son, incorporant également un dispositif de reproduction du son (autres qu'appareils d'enregistrement et de reproduction du son utilisant des bandes magnétiques sur bobines)")</f>
        <v xml:space="preserve">   Appareils d'enregistrement du son, incorporant également un dispositif de reproduction du son (autres qu'appareils d'enregistrement et de reproduction du son utilisant des bandes magnétiques sur bobines)</v>
      </c>
      <c r="C6366">
        <v>205600</v>
      </c>
      <c r="D6366">
        <v>37</v>
      </c>
    </row>
    <row r="6367" spans="1:4" x14ac:dyDescent="0.25">
      <c r="A6367" t="str">
        <f>T("   852460")</f>
        <v xml:space="preserve">   852460</v>
      </c>
      <c r="B6367" t="str">
        <f>T("   Cartes munies d'une piste magnétique enregistrée")</f>
        <v xml:space="preserve">   Cartes munies d'une piste magnétique enregistrée</v>
      </c>
      <c r="C6367">
        <v>3304930</v>
      </c>
      <c r="D6367">
        <v>156</v>
      </c>
    </row>
    <row r="6368" spans="1:4" x14ac:dyDescent="0.25">
      <c r="A6368" t="str">
        <f>T("   852499")</f>
        <v xml:space="preserve">   852499</v>
      </c>
      <c r="B6368" t="s">
        <v>465</v>
      </c>
      <c r="C6368">
        <v>2395000</v>
      </c>
      <c r="D6368">
        <v>598</v>
      </c>
    </row>
    <row r="6369" spans="1:4" x14ac:dyDescent="0.25">
      <c r="A6369" t="str">
        <f>T("   852812")</f>
        <v xml:space="preserve">   852812</v>
      </c>
      <c r="B6369"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6369">
        <v>411200</v>
      </c>
      <c r="D6369">
        <v>75</v>
      </c>
    </row>
    <row r="6370" spans="1:4" x14ac:dyDescent="0.25">
      <c r="A6370" t="str">
        <f>T("   852990")</f>
        <v xml:space="preserve">   852990</v>
      </c>
      <c r="B6370" t="s">
        <v>471</v>
      </c>
      <c r="C6370">
        <v>29125200</v>
      </c>
      <c r="D6370">
        <v>15000</v>
      </c>
    </row>
    <row r="6371" spans="1:4" x14ac:dyDescent="0.25">
      <c r="A6371" t="str">
        <f>T("   870322")</f>
        <v xml:space="preserve">   870322</v>
      </c>
      <c r="B6371" t="s">
        <v>480</v>
      </c>
      <c r="C6371">
        <v>11492502</v>
      </c>
      <c r="D6371">
        <v>3550</v>
      </c>
    </row>
    <row r="6372" spans="1:4" x14ac:dyDescent="0.25">
      <c r="A6372" t="str">
        <f>T("   870323")</f>
        <v xml:space="preserve">   870323</v>
      </c>
      <c r="B6372" t="s">
        <v>481</v>
      </c>
      <c r="C6372">
        <v>58459555</v>
      </c>
      <c r="D6372">
        <v>7674</v>
      </c>
    </row>
    <row r="6373" spans="1:4" x14ac:dyDescent="0.25">
      <c r="A6373" t="str">
        <f>T("   870421")</f>
        <v xml:space="preserve">   870421</v>
      </c>
      <c r="B6373" t="s">
        <v>486</v>
      </c>
      <c r="C6373">
        <v>25900378</v>
      </c>
      <c r="D6373">
        <v>7080</v>
      </c>
    </row>
    <row r="6374" spans="1:4" x14ac:dyDescent="0.25">
      <c r="A6374" t="str">
        <f>T("   870422")</f>
        <v xml:space="preserve">   870422</v>
      </c>
      <c r="B6374" t="s">
        <v>487</v>
      </c>
      <c r="C6374">
        <v>26052252</v>
      </c>
      <c r="D6374">
        <v>25500</v>
      </c>
    </row>
    <row r="6375" spans="1:4" x14ac:dyDescent="0.25">
      <c r="A6375" t="str">
        <f>T("   870899")</f>
        <v xml:space="preserve">   870899</v>
      </c>
      <c r="B6375"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6375">
        <v>1206504</v>
      </c>
      <c r="D6375">
        <v>32</v>
      </c>
    </row>
    <row r="6376" spans="1:4" x14ac:dyDescent="0.25">
      <c r="A6376" t="str">
        <f>T("   871130")</f>
        <v xml:space="preserve">   871130</v>
      </c>
      <c r="B6376" t="str">
        <f>T("   Motocycles à moteur à piston alternatif, cylindrée &gt; 250 cm³ mais &lt;= 500 cm³")</f>
        <v xml:space="preserve">   Motocycles à moteur à piston alternatif, cylindrée &gt; 250 cm³ mais &lt;= 500 cm³</v>
      </c>
      <c r="C6376">
        <v>810000</v>
      </c>
      <c r="D6376">
        <v>705</v>
      </c>
    </row>
    <row r="6377" spans="1:4" x14ac:dyDescent="0.25">
      <c r="A6377" t="str">
        <f>T("   871200")</f>
        <v xml:space="preserve">   871200</v>
      </c>
      <c r="B6377" t="str">
        <f>T("   BICYCLETTES ET AUTRES CYCLES, -Y.C. LES TRIPORTEURS-, SANS MOTEUR")</f>
        <v xml:space="preserve">   BICYCLETTES ET AUTRES CYCLES, -Y.C. LES TRIPORTEURS-, SANS MOTEUR</v>
      </c>
      <c r="C6377">
        <v>690000</v>
      </c>
      <c r="D6377">
        <v>500</v>
      </c>
    </row>
    <row r="6378" spans="1:4" x14ac:dyDescent="0.25">
      <c r="A6378" t="str">
        <f>T("   901480")</f>
        <v xml:space="preserve">   901480</v>
      </c>
      <c r="B6378" t="str">
        <f>T("   Instruments et appareils de navigation (à l'excl. de ceux destinés à la navigation aérienne et spatiale, des boussoles et des appareils de radio navigation)")</f>
        <v xml:space="preserve">   Instruments et appareils de navigation (à l'excl. de ceux destinés à la navigation aérienne et spatiale, des boussoles et des appareils de radio navigation)</v>
      </c>
      <c r="C6378">
        <v>1937498</v>
      </c>
      <c r="D6378">
        <v>361</v>
      </c>
    </row>
    <row r="6379" spans="1:4" x14ac:dyDescent="0.25">
      <c r="A6379" t="str">
        <f>T("   901890")</f>
        <v xml:space="preserve">   901890</v>
      </c>
      <c r="B6379" t="str">
        <f>T("   Instruments et appareils pour la médecine, la chirurgie ou l'art vétérinaire, n.d.a.")</f>
        <v xml:space="preserve">   Instruments et appareils pour la médecine, la chirurgie ou l'art vétérinaire, n.d.a.</v>
      </c>
      <c r="C6379">
        <v>1183995</v>
      </c>
      <c r="D6379">
        <v>18</v>
      </c>
    </row>
    <row r="6380" spans="1:4" x14ac:dyDescent="0.25">
      <c r="A6380" t="str">
        <f>T("   930390")</f>
        <v xml:space="preserve">   930390</v>
      </c>
      <c r="B6380" t="str">
        <f>T("   Armes à feu et engins simil. utilisant la déflagration de la poudre (autres que fusils et carabines de chasse ou de tir sportif, revolvers et pistolets du n° 9302 ainsi qu'armes de guerre)")</f>
        <v xml:space="preserve">   Armes à feu et engins simil. utilisant la déflagration de la poudre (autres que fusils et carabines de chasse ou de tir sportif, revolvers et pistolets du n° 9302 ainsi qu'armes de guerre)</v>
      </c>
      <c r="C6380">
        <v>920000</v>
      </c>
      <c r="D6380">
        <v>1</v>
      </c>
    </row>
    <row r="6381" spans="1:4" x14ac:dyDescent="0.25">
      <c r="A6381" t="str">
        <f>T("   940180")</f>
        <v xml:space="preserve">   940180</v>
      </c>
      <c r="B6381" t="str">
        <f>T("   Sièges, n.d.a.")</f>
        <v xml:space="preserve">   Sièges, n.d.a.</v>
      </c>
      <c r="C6381">
        <v>10212893</v>
      </c>
      <c r="D6381">
        <v>23707</v>
      </c>
    </row>
    <row r="6382" spans="1:4" x14ac:dyDescent="0.25">
      <c r="A6382" t="str">
        <f>T("   940320")</f>
        <v xml:space="preserve">   940320</v>
      </c>
      <c r="B6382"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6382">
        <v>500000</v>
      </c>
      <c r="D6382">
        <v>1292</v>
      </c>
    </row>
    <row r="6383" spans="1:4" x14ac:dyDescent="0.25">
      <c r="A6383" t="str">
        <f>T("   940350")</f>
        <v xml:space="preserve">   940350</v>
      </c>
      <c r="B6383" t="str">
        <f>T("   Meubles pour chambres à coucher, en bois (sauf sièges)")</f>
        <v xml:space="preserve">   Meubles pour chambres à coucher, en bois (sauf sièges)</v>
      </c>
      <c r="C6383">
        <v>500000</v>
      </c>
      <c r="D6383">
        <v>2660</v>
      </c>
    </row>
    <row r="6384" spans="1:4" x14ac:dyDescent="0.25">
      <c r="A6384" t="str">
        <f>T("   940360")</f>
        <v xml:space="preserve">   940360</v>
      </c>
      <c r="B6384" t="str">
        <f>T("   Meubles en bois (autres que pour bureaux, cuisines ou chambres à coucher et autres que sièges)")</f>
        <v xml:space="preserve">   Meubles en bois (autres que pour bureaux, cuisines ou chambres à coucher et autres que sièges)</v>
      </c>
      <c r="C6384">
        <v>7000000</v>
      </c>
      <c r="D6384">
        <v>44130</v>
      </c>
    </row>
    <row r="6385" spans="1:4" x14ac:dyDescent="0.25">
      <c r="A6385" t="str">
        <f>T("   940370")</f>
        <v xml:space="preserve">   940370</v>
      </c>
      <c r="B6385" t="str">
        <f>T("   Meubles en matières plastiques (autres que pour la médecine, l'art dentaire et vétérinaire, la chirurgie et autres que sièges)")</f>
        <v xml:space="preserve">   Meubles en matières plastiques (autres que pour la médecine, l'art dentaire et vétérinaire, la chirurgie et autres que sièges)</v>
      </c>
      <c r="C6385">
        <v>417000</v>
      </c>
      <c r="D6385">
        <v>4320</v>
      </c>
    </row>
    <row r="6386" spans="1:4" x14ac:dyDescent="0.25">
      <c r="A6386" t="str">
        <f>T("   940490")</f>
        <v xml:space="preserve">   940490</v>
      </c>
      <c r="B6386" t="s">
        <v>514</v>
      </c>
      <c r="C6386">
        <v>483185</v>
      </c>
      <c r="D6386">
        <v>2500</v>
      </c>
    </row>
    <row r="6387" spans="1:4" x14ac:dyDescent="0.25">
      <c r="A6387" t="str">
        <f>T("   961700")</f>
        <v xml:space="preserve">   961700</v>
      </c>
      <c r="B6387" t="str">
        <f>T("   Bouteilles isolantes et autres récipients isothermiques montés, dont l'isolation est assurée par le vide, ainsi que leurs parties (à l'excl. des ampoules en verre)")</f>
        <v xml:space="preserve">   Bouteilles isolantes et autres récipients isothermiques montés, dont l'isolation est assurée par le vide, ainsi que leurs parties (à l'excl. des ampoules en verre)</v>
      </c>
      <c r="C6387">
        <v>37364000</v>
      </c>
      <c r="D6387">
        <v>111564</v>
      </c>
    </row>
    <row r="6388" spans="1:4" x14ac:dyDescent="0.25">
      <c r="A6388" t="str">
        <f>T("GI")</f>
        <v>GI</v>
      </c>
      <c r="B6388" t="str">
        <f>T("Gibraltar")</f>
        <v>Gibraltar</v>
      </c>
    </row>
    <row r="6389" spans="1:4" x14ac:dyDescent="0.25">
      <c r="A6389" t="str">
        <f>T("   ZZ_Total_Produit_SH6")</f>
        <v xml:space="preserve">   ZZ_Total_Produit_SH6</v>
      </c>
      <c r="B6389" t="str">
        <f>T("   ZZ_Total_Produit_SH6")</f>
        <v xml:space="preserve">   ZZ_Total_Produit_SH6</v>
      </c>
      <c r="C6389">
        <v>342952373</v>
      </c>
      <c r="D6389">
        <v>295045</v>
      </c>
    </row>
    <row r="6390" spans="1:4" x14ac:dyDescent="0.25">
      <c r="A6390" t="str">
        <f>T("   020727")</f>
        <v xml:space="preserve">   020727</v>
      </c>
      <c r="B6390" t="str">
        <f>T("   Morceaux et abats comestibles de dindes et dindons [des espèces domestiques], congelés")</f>
        <v xml:space="preserve">   Morceaux et abats comestibles de dindes et dindons [des espèces domestiques], congelés</v>
      </c>
      <c r="C6390">
        <v>30000986</v>
      </c>
      <c r="D6390">
        <v>49500</v>
      </c>
    </row>
    <row r="6391" spans="1:4" x14ac:dyDescent="0.25">
      <c r="A6391" t="str">
        <f>T("   220300")</f>
        <v xml:space="preserve">   220300</v>
      </c>
      <c r="B6391" t="str">
        <f>T("   Bières de malt")</f>
        <v xml:space="preserve">   Bières de malt</v>
      </c>
      <c r="C6391">
        <v>33718966</v>
      </c>
      <c r="D6391">
        <v>126901</v>
      </c>
    </row>
    <row r="6392" spans="1:4" x14ac:dyDescent="0.25">
      <c r="A6392" t="str">
        <f>T("   401211")</f>
        <v xml:space="preserve">   401211</v>
      </c>
      <c r="B6392" t="str">
        <f>T("   Pneumatiques rechapés, en caoutchouc, des types utilisés pour les voitures de tourisme, y.c. les voitures du type 'break' et les voitures de course")</f>
        <v xml:space="preserve">   Pneumatiques rechapés, en caoutchouc, des types utilisés pour les voitures de tourisme, y.c. les voitures du type 'break' et les voitures de course</v>
      </c>
      <c r="C6392">
        <v>9630000</v>
      </c>
      <c r="D6392">
        <v>25560</v>
      </c>
    </row>
    <row r="6393" spans="1:4" x14ac:dyDescent="0.25">
      <c r="A6393" t="str">
        <f>T("   630900")</f>
        <v xml:space="preserve">   630900</v>
      </c>
      <c r="B6393" t="s">
        <v>278</v>
      </c>
      <c r="C6393">
        <v>22950598</v>
      </c>
      <c r="D6393">
        <v>51000</v>
      </c>
    </row>
    <row r="6394" spans="1:4" x14ac:dyDescent="0.25">
      <c r="A6394" t="str">
        <f>T("   841821")</f>
        <v xml:space="preserve">   841821</v>
      </c>
      <c r="B6394" t="str">
        <f>T("   Réfrigérateurs ménagers à compression")</f>
        <v xml:space="preserve">   Réfrigérateurs ménagers à compression</v>
      </c>
      <c r="C6394">
        <v>189000</v>
      </c>
      <c r="D6394">
        <v>800</v>
      </c>
    </row>
    <row r="6395" spans="1:4" x14ac:dyDescent="0.25">
      <c r="A6395" t="str">
        <f>T("   842240")</f>
        <v xml:space="preserve">   842240</v>
      </c>
      <c r="B6395" t="s">
        <v>406</v>
      </c>
      <c r="C6395">
        <v>400136</v>
      </c>
      <c r="D6395">
        <v>1600</v>
      </c>
    </row>
    <row r="6396" spans="1:4" x14ac:dyDescent="0.25">
      <c r="A6396" t="str">
        <f>T("   844360")</f>
        <v xml:space="preserve">   844360</v>
      </c>
      <c r="B6396" t="str">
        <f>T("   Machines auxiliaires pour l'impression fabriquées spécialement pour les machines et appareils à imprimer, pour placer, transporter ou travailler autrement les feuilles de papier ou les bandes continues de papier")</f>
        <v xml:space="preserve">   Machines auxiliaires pour l'impression fabriquées spécialement pour les machines et appareils à imprimer, pour placer, transporter ou travailler autrement les feuilles de papier ou les bandes continues de papier</v>
      </c>
      <c r="C6396">
        <v>10803523</v>
      </c>
      <c r="D6396">
        <v>8400</v>
      </c>
    </row>
    <row r="6397" spans="1:4" x14ac:dyDescent="0.25">
      <c r="A6397" t="str">
        <f>T("   870323")</f>
        <v xml:space="preserve">   870323</v>
      </c>
      <c r="B6397" t="s">
        <v>481</v>
      </c>
      <c r="C6397">
        <v>21580711</v>
      </c>
      <c r="D6397">
        <v>2180</v>
      </c>
    </row>
    <row r="6398" spans="1:4" x14ac:dyDescent="0.25">
      <c r="A6398" t="str">
        <f>T("   870333")</f>
        <v xml:space="preserve">   870333</v>
      </c>
      <c r="B6398" t="s">
        <v>485</v>
      </c>
      <c r="C6398">
        <v>213208453</v>
      </c>
      <c r="D6398">
        <v>28104</v>
      </c>
    </row>
    <row r="6399" spans="1:4" x14ac:dyDescent="0.25">
      <c r="A6399" t="str">
        <f>T("   940429")</f>
        <v xml:space="preserve">   940429</v>
      </c>
      <c r="B6399" t="str">
        <f>T("   Matelas à ressorts ou rembourrés, ou garnis intérieurement de matières autres que le caoutchouc alvéolaire ou les matières plastiques alvéolaires (sauf matelas à eau, matelas pneumatiques et oreillers)")</f>
        <v xml:space="preserve">   Matelas à ressorts ou rembourrés, ou garnis intérieurement de matières autres que le caoutchouc alvéolaire ou les matières plastiques alvéolaires (sauf matelas à eau, matelas pneumatiques et oreillers)</v>
      </c>
      <c r="C6399">
        <v>470000</v>
      </c>
      <c r="D6399">
        <v>1000</v>
      </c>
    </row>
    <row r="6400" spans="1:4" x14ac:dyDescent="0.25">
      <c r="A6400" t="str">
        <f>T("GN")</f>
        <v>GN</v>
      </c>
      <c r="B6400" t="str">
        <f>T("Guinée")</f>
        <v>Guinée</v>
      </c>
    </row>
    <row r="6401" spans="1:4" x14ac:dyDescent="0.25">
      <c r="A6401" t="str">
        <f>T("   ZZ_Total_Produit_SH6")</f>
        <v xml:space="preserve">   ZZ_Total_Produit_SH6</v>
      </c>
      <c r="B6401" t="str">
        <f>T("   ZZ_Total_Produit_SH6")</f>
        <v xml:space="preserve">   ZZ_Total_Produit_SH6</v>
      </c>
      <c r="C6401">
        <v>427635623</v>
      </c>
      <c r="D6401">
        <v>765164</v>
      </c>
    </row>
    <row r="6402" spans="1:4" x14ac:dyDescent="0.25">
      <c r="A6402" t="str">
        <f>T("   630900")</f>
        <v xml:space="preserve">   630900</v>
      </c>
      <c r="B6402" t="s">
        <v>278</v>
      </c>
      <c r="C6402">
        <v>64146379</v>
      </c>
      <c r="D6402">
        <v>133000</v>
      </c>
    </row>
    <row r="6403" spans="1:4" x14ac:dyDescent="0.25">
      <c r="A6403" t="str">
        <f>T("   840590")</f>
        <v xml:space="preserve">   840590</v>
      </c>
      <c r="B6403" t="str">
        <f>T("   Parties des générateurs de gaz à l'air ou de gaz à l'eau et des générateurs d'acétylène ou des générateurs simil. de gaz par procédé à l'eau, n.d.a.")</f>
        <v xml:space="preserve">   Parties des générateurs de gaz à l'air ou de gaz à l'eau et des générateurs d'acétylène ou des générateurs simil. de gaz par procédé à l'eau, n.d.a.</v>
      </c>
      <c r="C6403">
        <v>6822184</v>
      </c>
      <c r="D6403">
        <v>16800</v>
      </c>
    </row>
    <row r="6404" spans="1:4" x14ac:dyDescent="0.25">
      <c r="A6404" t="str">
        <f>T("   842959")</f>
        <v xml:space="preserve">   842959</v>
      </c>
      <c r="B6404"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6404">
        <v>28701140</v>
      </c>
      <c r="D6404">
        <v>133502</v>
      </c>
    </row>
    <row r="6405" spans="1:4" x14ac:dyDescent="0.25">
      <c r="A6405" t="str">
        <f>T("   843069")</f>
        <v xml:space="preserve">   843069</v>
      </c>
      <c r="B6405" t="str">
        <f>T("   Machines et appareils de terrassement, nivellement, décapage, excavation, compactage, extraction ou forage de la terre, des minéraux ou des minerais, non autopropulsés, n.d.a.")</f>
        <v xml:space="preserve">   Machines et appareils de terrassement, nivellement, décapage, excavation, compactage, extraction ou forage de la terre, des minéraux ou des minerais, non autopropulsés, n.d.a.</v>
      </c>
      <c r="C6405">
        <v>17227016</v>
      </c>
      <c r="D6405">
        <v>96650</v>
      </c>
    </row>
    <row r="6406" spans="1:4" x14ac:dyDescent="0.25">
      <c r="A6406" t="str">
        <f>T("   843139")</f>
        <v xml:space="preserve">   843139</v>
      </c>
      <c r="B6406" t="str">
        <f>T("   Parties de machines et appareils du n° 8428, n.d.a.")</f>
        <v xml:space="preserve">   Parties de machines et appareils du n° 8428, n.d.a.</v>
      </c>
      <c r="C6406">
        <v>8054960</v>
      </c>
      <c r="D6406">
        <v>26212</v>
      </c>
    </row>
    <row r="6407" spans="1:4" x14ac:dyDescent="0.25">
      <c r="A6407" t="str">
        <f>T("   850211")</f>
        <v xml:space="preserve">   850211</v>
      </c>
      <c r="B6407" t="s">
        <v>449</v>
      </c>
      <c r="C6407">
        <v>72314236</v>
      </c>
      <c r="D6407">
        <v>20890</v>
      </c>
    </row>
    <row r="6408" spans="1:4" x14ac:dyDescent="0.25">
      <c r="A6408" t="str">
        <f>T("   853669")</f>
        <v xml:space="preserve">   853669</v>
      </c>
      <c r="B6408" t="str">
        <f>T("   Fiches et prises de courant, pour une tension &lt;= 1.000 V (sauf douilles pour lampes)")</f>
        <v xml:space="preserve">   Fiches et prises de courant, pour une tension &lt;= 1.000 V (sauf douilles pour lampes)</v>
      </c>
      <c r="C6408">
        <v>1057000</v>
      </c>
      <c r="D6408">
        <v>1220</v>
      </c>
    </row>
    <row r="6409" spans="1:4" x14ac:dyDescent="0.25">
      <c r="A6409" t="str">
        <f>T("   870120")</f>
        <v xml:space="preserve">   870120</v>
      </c>
      <c r="B6409" t="str">
        <f>T("   Tracteurs routiers pour semi-remorques")</f>
        <v xml:space="preserve">   Tracteurs routiers pour semi-remorques</v>
      </c>
      <c r="C6409">
        <v>140308488</v>
      </c>
      <c r="D6409">
        <v>62780</v>
      </c>
    </row>
    <row r="6410" spans="1:4" x14ac:dyDescent="0.25">
      <c r="A6410" t="str">
        <f>T("   870190")</f>
        <v xml:space="preserve">   870190</v>
      </c>
      <c r="B6410" t="str">
        <f>T("   Tracteurs (à l'excl. des chariots-tracteurs du n° 8709, ainsi que des motoculteurs, tracteurs routiers pour semi-remorques et tracteurs à chenilles)")</f>
        <v xml:space="preserve">   Tracteurs (à l'excl. des chariots-tracteurs du n° 8709, ainsi que des motoculteurs, tracteurs routiers pour semi-remorques et tracteurs à chenilles)</v>
      </c>
      <c r="C6410">
        <v>10678800</v>
      </c>
      <c r="D6410">
        <v>27212</v>
      </c>
    </row>
    <row r="6411" spans="1:4" x14ac:dyDescent="0.25">
      <c r="A6411" t="str">
        <f>T("   870421")</f>
        <v xml:space="preserve">   870421</v>
      </c>
      <c r="B6411" t="s">
        <v>486</v>
      </c>
      <c r="C6411">
        <v>1244582</v>
      </c>
      <c r="D6411">
        <v>24000</v>
      </c>
    </row>
    <row r="6412" spans="1:4" x14ac:dyDescent="0.25">
      <c r="A6412" t="str">
        <f>T("   870422")</f>
        <v xml:space="preserve">   870422</v>
      </c>
      <c r="B6412" t="s">
        <v>487</v>
      </c>
      <c r="C6412">
        <v>21216532</v>
      </c>
      <c r="D6412">
        <v>76756</v>
      </c>
    </row>
    <row r="6413" spans="1:4" x14ac:dyDescent="0.25">
      <c r="A6413" t="str">
        <f>T("   870423")</f>
        <v xml:space="preserve">   870423</v>
      </c>
      <c r="B6413" t="s">
        <v>488</v>
      </c>
      <c r="C6413">
        <v>2875752</v>
      </c>
      <c r="D6413">
        <v>23450</v>
      </c>
    </row>
    <row r="6414" spans="1:4" x14ac:dyDescent="0.25">
      <c r="A6414" t="str">
        <f>T("   870899")</f>
        <v xml:space="preserve">   870899</v>
      </c>
      <c r="B6414"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6414">
        <v>5182060</v>
      </c>
      <c r="D6414">
        <v>7500</v>
      </c>
    </row>
    <row r="6415" spans="1:4" x14ac:dyDescent="0.25">
      <c r="A6415" t="str">
        <f>T("   871120")</f>
        <v xml:space="preserve">   871120</v>
      </c>
      <c r="B6415" t="str">
        <f>T("   Motocycles à moteur à piston alternatif, cylindrée &gt; 50 cm³ mais &lt;= 250 cm³")</f>
        <v xml:space="preserve">   Motocycles à moteur à piston alternatif, cylindrée &gt; 50 cm³ mais &lt;= 250 cm³</v>
      </c>
      <c r="C6415">
        <v>31330000</v>
      </c>
      <c r="D6415">
        <v>19274</v>
      </c>
    </row>
    <row r="6416" spans="1:4" x14ac:dyDescent="0.25">
      <c r="A6416" t="str">
        <f>T("   871620")</f>
        <v xml:space="preserve">   871620</v>
      </c>
      <c r="B6416" t="str">
        <f>T("   Remorques et semi-remorques autochargeuses ou autodéchargeuses, pour usages agricoles")</f>
        <v xml:space="preserve">   Remorques et semi-remorques autochargeuses ou autodéchargeuses, pour usages agricoles</v>
      </c>
      <c r="C6416">
        <v>4757045</v>
      </c>
      <c r="D6416">
        <v>9962</v>
      </c>
    </row>
    <row r="6417" spans="1:4" x14ac:dyDescent="0.25">
      <c r="A6417" t="str">
        <f>T("   871631")</f>
        <v xml:space="preserve">   871631</v>
      </c>
      <c r="B6417" t="str">
        <f>T("   Remorques-citernes ne circulant pas sur rails")</f>
        <v xml:space="preserve">   Remorques-citernes ne circulant pas sur rails</v>
      </c>
      <c r="C6417">
        <v>11719449</v>
      </c>
      <c r="D6417">
        <v>85956</v>
      </c>
    </row>
    <row r="6418" spans="1:4" x14ac:dyDescent="0.25">
      <c r="A6418" t="str">
        <f>T("GP")</f>
        <v>GP</v>
      </c>
      <c r="B6418" t="str">
        <f>T("Guadeloupe")</f>
        <v>Guadeloupe</v>
      </c>
    </row>
    <row r="6419" spans="1:4" x14ac:dyDescent="0.25">
      <c r="A6419" t="str">
        <f>T("   ZZ_Total_Produit_SH6")</f>
        <v xml:space="preserve">   ZZ_Total_Produit_SH6</v>
      </c>
      <c r="B6419" t="str">
        <f>T("   ZZ_Total_Produit_SH6")</f>
        <v xml:space="preserve">   ZZ_Total_Produit_SH6</v>
      </c>
      <c r="C6419">
        <v>5530330</v>
      </c>
      <c r="D6419">
        <v>10645</v>
      </c>
    </row>
    <row r="6420" spans="1:4" x14ac:dyDescent="0.25">
      <c r="A6420" t="str">
        <f>T("   190230")</f>
        <v xml:space="preserve">   190230</v>
      </c>
      <c r="B6420" t="str">
        <f>T("   Pâtes alimentaires, cuites ou autrement préparées (à l'excl. des pâtes alimentaires farcies)")</f>
        <v xml:space="preserve">   Pâtes alimentaires, cuites ou autrement préparées (à l'excl. des pâtes alimentaires farcies)</v>
      </c>
      <c r="C6420">
        <v>400257</v>
      </c>
      <c r="D6420">
        <v>800</v>
      </c>
    </row>
    <row r="6421" spans="1:4" x14ac:dyDescent="0.25">
      <c r="A6421" t="str">
        <f>T("   200980")</f>
        <v xml:space="preserve">   200980</v>
      </c>
      <c r="B6421"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6421">
        <v>2330000</v>
      </c>
      <c r="D6421">
        <v>5045</v>
      </c>
    </row>
    <row r="6422" spans="1:4" x14ac:dyDescent="0.25">
      <c r="A6422" t="str">
        <f>T("   340111")</f>
        <v xml:space="preserve">   340111</v>
      </c>
      <c r="B6422" t="s">
        <v>102</v>
      </c>
      <c r="C6422">
        <v>300073</v>
      </c>
      <c r="D6422">
        <v>1500</v>
      </c>
    </row>
    <row r="6423" spans="1:4" x14ac:dyDescent="0.25">
      <c r="A6423" t="str">
        <f>T("   490199")</f>
        <v xml:space="preserve">   490199</v>
      </c>
      <c r="B6423"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6423">
        <v>200000</v>
      </c>
      <c r="D6423">
        <v>400</v>
      </c>
    </row>
    <row r="6424" spans="1:4" x14ac:dyDescent="0.25">
      <c r="A6424" t="str">
        <f>T("   620590")</f>
        <v xml:space="preserve">   620590</v>
      </c>
      <c r="B6424"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6424">
        <v>500000</v>
      </c>
      <c r="D6424">
        <v>600</v>
      </c>
    </row>
    <row r="6425" spans="1:4" x14ac:dyDescent="0.25">
      <c r="A6425" t="str">
        <f>T("   732394")</f>
        <v xml:space="preserve">   732394</v>
      </c>
      <c r="B6425" t="s">
        <v>367</v>
      </c>
      <c r="C6425">
        <v>600000</v>
      </c>
      <c r="D6425">
        <v>900</v>
      </c>
    </row>
    <row r="6426" spans="1:4" x14ac:dyDescent="0.25">
      <c r="A6426" t="str">
        <f>T("   940350")</f>
        <v xml:space="preserve">   940350</v>
      </c>
      <c r="B6426" t="str">
        <f>T("   Meubles pour chambres à coucher, en bois (sauf sièges)")</f>
        <v xml:space="preserve">   Meubles pour chambres à coucher, en bois (sauf sièges)</v>
      </c>
      <c r="C6426">
        <v>1200000</v>
      </c>
      <c r="D6426">
        <v>1400</v>
      </c>
    </row>
    <row r="6427" spans="1:4" x14ac:dyDescent="0.25">
      <c r="A6427" t="str">
        <f>T("GQ")</f>
        <v>GQ</v>
      </c>
      <c r="B6427" t="str">
        <f>T("Guinée Equatoriale")</f>
        <v>Guinée Equatoriale</v>
      </c>
    </row>
    <row r="6428" spans="1:4" x14ac:dyDescent="0.25">
      <c r="A6428" t="str">
        <f>T("   ZZ_Total_Produit_SH6")</f>
        <v xml:space="preserve">   ZZ_Total_Produit_SH6</v>
      </c>
      <c r="B6428" t="str">
        <f>T("   ZZ_Total_Produit_SH6")</f>
        <v xml:space="preserve">   ZZ_Total_Produit_SH6</v>
      </c>
      <c r="C6428">
        <v>358868203</v>
      </c>
      <c r="D6428">
        <v>734818</v>
      </c>
    </row>
    <row r="6429" spans="1:4" x14ac:dyDescent="0.25">
      <c r="A6429" t="str">
        <f>T("   271113")</f>
        <v xml:space="preserve">   271113</v>
      </c>
      <c r="B6429" t="str">
        <f>T("   Butanes, liquéfiés (à l'excl. des butanes d'une pureté &gt;= 95% en n-butane ou en isobutane)")</f>
        <v xml:space="preserve">   Butanes, liquéfiés (à l'excl. des butanes d'une pureté &gt;= 95% en n-butane ou en isobutane)</v>
      </c>
      <c r="C6429">
        <v>193147713</v>
      </c>
      <c r="D6429">
        <v>519118</v>
      </c>
    </row>
    <row r="6430" spans="1:4" x14ac:dyDescent="0.25">
      <c r="A6430" t="str">
        <f>T("   490199")</f>
        <v xml:space="preserve">   490199</v>
      </c>
      <c r="B6430"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6430">
        <v>200000</v>
      </c>
      <c r="D6430">
        <v>150</v>
      </c>
    </row>
    <row r="6431" spans="1:4" x14ac:dyDescent="0.25">
      <c r="A6431" t="str">
        <f>T("   620590")</f>
        <v xml:space="preserve">   620590</v>
      </c>
      <c r="B6431"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6431">
        <v>400000</v>
      </c>
      <c r="D6431">
        <v>450</v>
      </c>
    </row>
    <row r="6432" spans="1:4" x14ac:dyDescent="0.25">
      <c r="A6432" t="str">
        <f>T("   630900")</f>
        <v xml:space="preserve">   630900</v>
      </c>
      <c r="B6432" t="s">
        <v>278</v>
      </c>
      <c r="C6432">
        <v>22120490</v>
      </c>
      <c r="D6432">
        <v>44000</v>
      </c>
    </row>
    <row r="6433" spans="1:4" x14ac:dyDescent="0.25">
      <c r="A6433" t="str">
        <f>T("   732394")</f>
        <v xml:space="preserve">   732394</v>
      </c>
      <c r="B6433" t="s">
        <v>367</v>
      </c>
      <c r="C6433">
        <v>600000</v>
      </c>
      <c r="D6433">
        <v>600</v>
      </c>
    </row>
    <row r="6434" spans="1:4" x14ac:dyDescent="0.25">
      <c r="A6434" t="str">
        <f>T("   870422")</f>
        <v xml:space="preserve">   870422</v>
      </c>
      <c r="B6434" t="s">
        <v>487</v>
      </c>
      <c r="C6434">
        <v>141600000</v>
      </c>
      <c r="D6434">
        <v>169500</v>
      </c>
    </row>
    <row r="6435" spans="1:4" x14ac:dyDescent="0.25">
      <c r="A6435" t="str">
        <f>T("   940350")</f>
        <v xml:space="preserve">   940350</v>
      </c>
      <c r="B6435" t="str">
        <f>T("   Meubles pour chambres à coucher, en bois (sauf sièges)")</f>
        <v xml:space="preserve">   Meubles pour chambres à coucher, en bois (sauf sièges)</v>
      </c>
      <c r="C6435">
        <v>800000</v>
      </c>
      <c r="D6435">
        <v>1000</v>
      </c>
    </row>
    <row r="6436" spans="1:4" x14ac:dyDescent="0.25">
      <c r="A6436" t="str">
        <f>T("GR")</f>
        <v>GR</v>
      </c>
      <c r="B6436" t="str">
        <f>T("Grèce")</f>
        <v>Grèce</v>
      </c>
    </row>
    <row r="6437" spans="1:4" x14ac:dyDescent="0.25">
      <c r="A6437" t="str">
        <f>T("   ZZ_Total_Produit_SH6")</f>
        <v xml:space="preserve">   ZZ_Total_Produit_SH6</v>
      </c>
      <c r="B6437" t="str">
        <f>T("   ZZ_Total_Produit_SH6")</f>
        <v xml:space="preserve">   ZZ_Total_Produit_SH6</v>
      </c>
      <c r="C6437">
        <v>23429654</v>
      </c>
      <c r="D6437">
        <v>87550</v>
      </c>
    </row>
    <row r="6438" spans="1:4" x14ac:dyDescent="0.25">
      <c r="A6438" t="str">
        <f>T("   271019")</f>
        <v xml:space="preserve">   271019</v>
      </c>
      <c r="B6438" t="str">
        <f>T("   Huiles moyennes et préparations, de pétrole ou de minéraux bitumineux, n.d.a.")</f>
        <v xml:space="preserve">   Huiles moyennes et préparations, de pétrole ou de minéraux bitumineux, n.d.a.</v>
      </c>
      <c r="C6438">
        <v>7745589</v>
      </c>
      <c r="D6438">
        <v>20718</v>
      </c>
    </row>
    <row r="6439" spans="1:4" x14ac:dyDescent="0.25">
      <c r="A6439" t="str">
        <f>T("   391739")</f>
        <v xml:space="preserve">   391739</v>
      </c>
      <c r="B6439" t="str">
        <f>T("   TUBES ET TUYAUX SOUPLES, EN MATIÈRES PLASTIQUES, RENFORCÉS D'AUTRES MATIÈRES OU ASSOCIÉS À D'AUTRES MATIÈRES (À L'EXCL. DES PRODUITS POUVANT SUPPORTER UNE PRESSION &gt;= 27,6 MPA)")</f>
        <v xml:space="preserve">   TUBES ET TUYAUX SOUPLES, EN MATIÈRES PLASTIQUES, RENFORCÉS D'AUTRES MATIÈRES OU ASSOCIÉS À D'AUTRES MATIÈRES (À L'EXCL. DES PRODUITS POUVANT SUPPORTER UNE PRESSION &gt;= 27,6 MPA)</v>
      </c>
      <c r="C6439">
        <v>2295000</v>
      </c>
      <c r="D6439">
        <v>22000</v>
      </c>
    </row>
    <row r="6440" spans="1:4" x14ac:dyDescent="0.25">
      <c r="A6440" t="str">
        <f>T("   620349")</f>
        <v xml:space="preserve">   620349</v>
      </c>
      <c r="B6440" t="s">
        <v>266</v>
      </c>
      <c r="C6440">
        <v>7259276</v>
      </c>
      <c r="D6440">
        <v>2288</v>
      </c>
    </row>
    <row r="6441" spans="1:4" x14ac:dyDescent="0.25">
      <c r="A6441" t="str">
        <f>T("   680221")</f>
        <v xml:space="preserve">   680221</v>
      </c>
      <c r="B6441" t="s">
        <v>293</v>
      </c>
      <c r="C6441">
        <v>1800610</v>
      </c>
      <c r="D6441">
        <v>8000</v>
      </c>
    </row>
    <row r="6442" spans="1:4" x14ac:dyDescent="0.25">
      <c r="A6442" t="str">
        <f>T("   690790")</f>
        <v xml:space="preserve">   690790</v>
      </c>
      <c r="B6442" t="s">
        <v>310</v>
      </c>
      <c r="C6442">
        <v>1200407</v>
      </c>
      <c r="D6442">
        <v>11000</v>
      </c>
    </row>
    <row r="6443" spans="1:4" x14ac:dyDescent="0.25">
      <c r="A6443" t="str">
        <f>T("   830630")</f>
        <v xml:space="preserve">   830630</v>
      </c>
      <c r="B6443" t="str">
        <f>T("   Cadres pour photographies, gravures ou simil., en métaux communs; miroirs, en métaux communs (sauf éléments optiques)")</f>
        <v xml:space="preserve">   Cadres pour photographies, gravures ou simil., en métaux communs; miroirs, en métaux communs (sauf éléments optiques)</v>
      </c>
      <c r="C6443">
        <v>2400000</v>
      </c>
      <c r="D6443">
        <v>23500</v>
      </c>
    </row>
    <row r="6444" spans="1:4" x14ac:dyDescent="0.25">
      <c r="A6444" t="str">
        <f>T("   842129")</f>
        <v xml:space="preserve">   842129</v>
      </c>
      <c r="B6444" t="str">
        <f>T("   Appareils pour la filtration ou l'épuration des liquides (à l'excl. de l'eau ou des boissons, des huiles minérales et carburants pour les moteurs à allumage par étincelles ou par compression ainsi que les reins artificiels)")</f>
        <v xml:space="preserve">   Appareils pour la filtration ou l'épuration des liquides (à l'excl. de l'eau ou des boissons, des huiles minérales et carburants pour les moteurs à allumage par étincelles ou par compression ainsi que les reins artificiels)</v>
      </c>
      <c r="C6444">
        <v>249265</v>
      </c>
      <c r="D6444">
        <v>32</v>
      </c>
    </row>
    <row r="6445" spans="1:4" x14ac:dyDescent="0.25">
      <c r="A6445" t="str">
        <f>T("   853929")</f>
        <v xml:space="preserve">   853929</v>
      </c>
      <c r="B6445" t="str">
        <f>T("   Lampes et tubes à incandescence électriques (autres que lampes et tubes halogènes, au tungstène, lampes d'une puissance &lt;= 200 W et pour une tension &gt; 100 V, et lampes à rayons ultraviolets ou infrarouges)")</f>
        <v xml:space="preserve">   Lampes et tubes à incandescence électriques (autres que lampes et tubes halogènes, au tungstène, lampes d'une puissance &lt;= 200 W et pour une tension &gt; 100 V, et lampes à rayons ultraviolets ou infrarouges)</v>
      </c>
      <c r="C6445">
        <v>269600</v>
      </c>
      <c r="D6445">
        <v>7</v>
      </c>
    </row>
    <row r="6446" spans="1:4" x14ac:dyDescent="0.25">
      <c r="A6446" t="str">
        <f>T("   890190")</f>
        <v xml:space="preserve">   890190</v>
      </c>
      <c r="B6446" t="str">
        <f>T("   Cargos et bateaux pour le transport de personnes et de marchandises (autres que bateaux frigorifiques, bateaux-citernes, cargos et bateaux destinés essentiellement au transport des personnes)")</f>
        <v xml:space="preserve">   Cargos et bateaux pour le transport de personnes et de marchandises (autres que bateaux frigorifiques, bateaux-citernes, cargos et bateaux destinés essentiellement au transport des personnes)</v>
      </c>
      <c r="C6446">
        <v>209907</v>
      </c>
      <c r="D6446">
        <v>5</v>
      </c>
    </row>
    <row r="6447" spans="1:4" x14ac:dyDescent="0.25">
      <c r="A6447" t="str">
        <f>T("HK")</f>
        <v>HK</v>
      </c>
      <c r="B6447" t="str">
        <f>T("Hong-Kong")</f>
        <v>Hong-Kong</v>
      </c>
    </row>
    <row r="6448" spans="1:4" x14ac:dyDescent="0.25">
      <c r="A6448" t="str">
        <f>T("   ZZ_Total_Produit_SH6")</f>
        <v xml:space="preserve">   ZZ_Total_Produit_SH6</v>
      </c>
      <c r="B6448" t="str">
        <f>T("   ZZ_Total_Produit_SH6")</f>
        <v xml:space="preserve">   ZZ_Total_Produit_SH6</v>
      </c>
      <c r="C6448">
        <v>4653506290.2469997</v>
      </c>
      <c r="D6448">
        <v>10450451.199999999</v>
      </c>
    </row>
    <row r="6449" spans="1:4" x14ac:dyDescent="0.25">
      <c r="A6449" t="str">
        <f>T("   100630")</f>
        <v xml:space="preserve">   100630</v>
      </c>
      <c r="B6449" t="str">
        <f>T("   Riz semi-blanchi ou blanchi, même poli ou glacé")</f>
        <v xml:space="preserve">   Riz semi-blanchi ou blanchi, même poli ou glacé</v>
      </c>
      <c r="C6449">
        <v>12466694.345000001</v>
      </c>
      <c r="D6449">
        <v>50100</v>
      </c>
    </row>
    <row r="6450" spans="1:4" x14ac:dyDescent="0.25">
      <c r="A6450" t="str">
        <f>T("   150890")</f>
        <v xml:space="preserve">   150890</v>
      </c>
      <c r="B6450" t="str">
        <f>T("   Huile d'arachide et ses fractions, même raffinées, mais non chimiquement modifiées (à l'excl. de l'huile d'arachide brute)")</f>
        <v xml:space="preserve">   Huile d'arachide et ses fractions, même raffinées, mais non chimiquement modifiées (à l'excl. de l'huile d'arachide brute)</v>
      </c>
      <c r="C6450">
        <v>14209749.123</v>
      </c>
      <c r="D6450">
        <v>44000</v>
      </c>
    </row>
    <row r="6451" spans="1:4" x14ac:dyDescent="0.25">
      <c r="A6451" t="str">
        <f>T("   151190")</f>
        <v xml:space="preserve">   151190</v>
      </c>
      <c r="B6451" t="str">
        <f>T("   Huile de palme et ses fractions, même raffinées, mais non chimiquement modifiées (à l'excl. de l'huile de palme brute)")</f>
        <v xml:space="preserve">   Huile de palme et ses fractions, même raffinées, mais non chimiquement modifiées (à l'excl. de l'huile de palme brute)</v>
      </c>
      <c r="C6451">
        <v>425397536.77899998</v>
      </c>
      <c r="D6451">
        <v>1427525</v>
      </c>
    </row>
    <row r="6452" spans="1:4" x14ac:dyDescent="0.25">
      <c r="A6452" t="str">
        <f>T("   151620")</f>
        <v xml:space="preserve">   151620</v>
      </c>
      <c r="B6452"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6452">
        <v>30800727</v>
      </c>
      <c r="D6452">
        <v>149985</v>
      </c>
    </row>
    <row r="6453" spans="1:4" x14ac:dyDescent="0.25">
      <c r="A6453" t="str">
        <f>T("   160413")</f>
        <v xml:space="preserve">   160413</v>
      </c>
      <c r="B6453" t="str">
        <f>T("   Préparations et conserves de sardines, sardinelles, sprats ou esprots, entiers ou en morceaux (à l'excl. des préparations et conserves de poissons hachés)")</f>
        <v xml:space="preserve">   Préparations et conserves de sardines, sardinelles, sprats ou esprots, entiers ou en morceaux (à l'excl. des préparations et conserves de poissons hachés)</v>
      </c>
      <c r="C6453">
        <v>16500000</v>
      </c>
      <c r="D6453">
        <v>142640</v>
      </c>
    </row>
    <row r="6454" spans="1:4" x14ac:dyDescent="0.25">
      <c r="A6454" t="str">
        <f>T("   190230")</f>
        <v xml:space="preserve">   190230</v>
      </c>
      <c r="B6454" t="str">
        <f>T("   Pâtes alimentaires, cuites ou autrement préparées (à l'excl. des pâtes alimentaires farcies)")</f>
        <v xml:space="preserve">   Pâtes alimentaires, cuites ou autrement préparées (à l'excl. des pâtes alimentaires farcies)</v>
      </c>
      <c r="C6454">
        <v>6484165</v>
      </c>
      <c r="D6454">
        <v>55620</v>
      </c>
    </row>
    <row r="6455" spans="1:4" x14ac:dyDescent="0.25">
      <c r="A6455" t="str">
        <f>T("   190410")</f>
        <v xml:space="preserve">   190410</v>
      </c>
      <c r="B6455" t="str">
        <f>T("   PRODUITS À BASE DE CÉRÉALES OBTENUS PAR SOUFFLAGE OU GRILLAGE [CORN FLAKES, P.EX.]")</f>
        <v xml:space="preserve">   PRODUITS À BASE DE CÉRÉALES OBTENUS PAR SOUFFLAGE OU GRILLAGE [CORN FLAKES, P.EX.]</v>
      </c>
      <c r="C6455">
        <v>888557</v>
      </c>
      <c r="D6455">
        <v>481</v>
      </c>
    </row>
    <row r="6456" spans="1:4" x14ac:dyDescent="0.25">
      <c r="A6456" t="str">
        <f>T("   190490")</f>
        <v xml:space="preserve">   190490</v>
      </c>
      <c r="B6456" t="s">
        <v>50</v>
      </c>
      <c r="C6456">
        <v>2051743</v>
      </c>
      <c r="D6456">
        <v>1439</v>
      </c>
    </row>
    <row r="6457" spans="1:4" x14ac:dyDescent="0.25">
      <c r="A6457" t="str">
        <f>T("   210112")</f>
        <v xml:space="preserve">   210112</v>
      </c>
      <c r="B6457" t="str">
        <f>T("   Préparations à base d'extraits, essences ou concentrés de café ou à base de café")</f>
        <v xml:space="preserve">   Préparations à base d'extraits, essences ou concentrés de café ou à base de café</v>
      </c>
      <c r="C6457">
        <v>3117231</v>
      </c>
      <c r="D6457">
        <v>890</v>
      </c>
    </row>
    <row r="6458" spans="1:4" x14ac:dyDescent="0.25">
      <c r="A6458" t="str">
        <f>T("   210690")</f>
        <v xml:space="preserve">   210690</v>
      </c>
      <c r="B6458" t="str">
        <f>T("   Préparations alimentaires, n.d.a.")</f>
        <v xml:space="preserve">   Préparations alimentaires, n.d.a.</v>
      </c>
      <c r="C6458">
        <v>1414059</v>
      </c>
      <c r="D6458">
        <v>501</v>
      </c>
    </row>
    <row r="6459" spans="1:4" x14ac:dyDescent="0.25">
      <c r="A6459" t="str">
        <f>T("   220421")</f>
        <v xml:space="preserve">   220421</v>
      </c>
      <c r="B6459" t="str">
        <f>T("   Vins de raisins frais, y.c. les vins enrichis en alcool (à l'excl. des vins mousseux); moûts de raisins dont la fermentation a été empêchée ou arrêtée par addition d'alcool, en récipients d'une contenance &lt;= 2 l")</f>
        <v xml:space="preserve">   Vins de raisins frais, y.c. les vins enrichis en alcool (à l'excl. des vins mousseux); moûts de raisins dont la fermentation a été empêchée ou arrêtée par addition d'alcool, en récipients d'une contenance &lt;= 2 l</v>
      </c>
      <c r="C6459">
        <v>20000000</v>
      </c>
      <c r="D6459">
        <v>106350</v>
      </c>
    </row>
    <row r="6460" spans="1:4" x14ac:dyDescent="0.25">
      <c r="A6460" t="str">
        <f>T("   220830")</f>
        <v xml:space="preserve">   220830</v>
      </c>
      <c r="B6460" t="str">
        <f>T("   Whiskies")</f>
        <v xml:space="preserve">   Whiskies</v>
      </c>
      <c r="C6460">
        <v>2290000</v>
      </c>
      <c r="D6460">
        <v>15765</v>
      </c>
    </row>
    <row r="6461" spans="1:4" x14ac:dyDescent="0.25">
      <c r="A6461" t="str">
        <f>T("   220890")</f>
        <v xml:space="preserve">   220890</v>
      </c>
      <c r="B6461" t="s">
        <v>61</v>
      </c>
      <c r="C6461">
        <v>7000000</v>
      </c>
      <c r="D6461">
        <v>22660</v>
      </c>
    </row>
    <row r="6462" spans="1:4" x14ac:dyDescent="0.25">
      <c r="A6462" t="str">
        <f>T("   391740")</f>
        <v xml:space="preserve">   391740</v>
      </c>
      <c r="B6462" t="str">
        <f>T("   Accessoires pour tubes ou tuyaux [joints, coudes, raccords, par exemple], en matières plastiques")</f>
        <v xml:space="preserve">   Accessoires pour tubes ou tuyaux [joints, coudes, raccords, par exemple], en matières plastiques</v>
      </c>
      <c r="C6462">
        <v>135762</v>
      </c>
      <c r="D6462">
        <v>10</v>
      </c>
    </row>
    <row r="6463" spans="1:4" x14ac:dyDescent="0.25">
      <c r="A6463" t="str">
        <f>T("   392690")</f>
        <v xml:space="preserve">   392690</v>
      </c>
      <c r="B6463" t="str">
        <f>T("   Ouvrages en matières plastiques et ouvrages en autres matières du n° 3901 à 3914, n.d.a.")</f>
        <v xml:space="preserve">   Ouvrages en matières plastiques et ouvrages en autres matières du n° 3901 à 3914, n.d.a.</v>
      </c>
      <c r="C6463">
        <v>2077935</v>
      </c>
      <c r="D6463">
        <v>6766.4</v>
      </c>
    </row>
    <row r="6464" spans="1:4" x14ac:dyDescent="0.25">
      <c r="A6464" t="str">
        <f>T("   401220")</f>
        <v xml:space="preserve">   401220</v>
      </c>
      <c r="B6464" t="str">
        <f>T("   Pneumatiques usagés, en caoutchouc")</f>
        <v xml:space="preserve">   Pneumatiques usagés, en caoutchouc</v>
      </c>
      <c r="C6464">
        <v>7722617</v>
      </c>
      <c r="D6464">
        <v>9500</v>
      </c>
    </row>
    <row r="6465" spans="1:4" x14ac:dyDescent="0.25">
      <c r="A6465" t="str">
        <f>T("   420212")</f>
        <v xml:space="preserve">   420212</v>
      </c>
      <c r="B6465" t="str">
        <f>T("   Malles, valises et mallettes, y.c. les mallettes de toilette et les mallettes porte-documents, serviettes, cartables et contenants simil., à surface extérieure en matières plastiques ou en matières textiles")</f>
        <v xml:space="preserve">   Malles, valises et mallettes, y.c. les mallettes de toilette et les mallettes porte-documents, serviettes, cartables et contenants simil., à surface extérieure en matières plastiques ou en matières textiles</v>
      </c>
      <c r="C6465">
        <v>2092363</v>
      </c>
      <c r="D6465">
        <v>1723</v>
      </c>
    </row>
    <row r="6466" spans="1:4" x14ac:dyDescent="0.25">
      <c r="A6466" t="str">
        <f>T("   420229")</f>
        <v xml:space="preserve">   420229</v>
      </c>
      <c r="B6466"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6466">
        <v>47935</v>
      </c>
      <c r="D6466">
        <v>400</v>
      </c>
    </row>
    <row r="6467" spans="1:4" x14ac:dyDescent="0.25">
      <c r="A6467" t="str">
        <f>T("   441229")</f>
        <v xml:space="preserve">   441229</v>
      </c>
      <c r="B6467" t="s">
        <v>185</v>
      </c>
      <c r="C6467">
        <v>200068</v>
      </c>
      <c r="D6467">
        <v>750</v>
      </c>
    </row>
    <row r="6468" spans="1:4" x14ac:dyDescent="0.25">
      <c r="A6468" t="str">
        <f>T("   491000")</f>
        <v xml:space="preserve">   491000</v>
      </c>
      <c r="B6468" t="str">
        <f>T("   Calendriers de tous genres, imprimés, y.c. les blocs de calendriers à effeuiller")</f>
        <v xml:space="preserve">   Calendriers de tous genres, imprimés, y.c. les blocs de calendriers à effeuiller</v>
      </c>
      <c r="C6468">
        <v>200009</v>
      </c>
      <c r="D6468">
        <v>475</v>
      </c>
    </row>
    <row r="6469" spans="1:4" x14ac:dyDescent="0.25">
      <c r="A6469" t="str">
        <f>T("   491110")</f>
        <v xml:space="preserve">   491110</v>
      </c>
      <c r="B6469" t="str">
        <f>T("   Imprimés publicitaires, catalogues commerciaux et simil.")</f>
        <v xml:space="preserve">   Imprimés publicitaires, catalogues commerciaux et simil.</v>
      </c>
      <c r="C6469">
        <v>45903</v>
      </c>
      <c r="D6469">
        <v>521</v>
      </c>
    </row>
    <row r="6470" spans="1:4" x14ac:dyDescent="0.25">
      <c r="A6470" t="str">
        <f>T("   520851")</f>
        <v xml:space="preserve">   520851</v>
      </c>
      <c r="B6470" t="str">
        <f>T("   Tissus de coton, imprimés, à armure toile, contenant &gt;= 85% en poids de coton, d'un poids &lt;= 100 g/m²")</f>
        <v xml:space="preserve">   Tissus de coton, imprimés, à armure toile, contenant &gt;= 85% en poids de coton, d'un poids &lt;= 100 g/m²</v>
      </c>
      <c r="C6470">
        <v>15986323</v>
      </c>
      <c r="D6470">
        <v>18600</v>
      </c>
    </row>
    <row r="6471" spans="1:4" x14ac:dyDescent="0.25">
      <c r="A6471" t="str">
        <f>T("   520852")</f>
        <v xml:space="preserve">   520852</v>
      </c>
      <c r="B6471" t="str">
        <f>T("   Tissus de coton, imprimés, à armure toile, contenant &gt;= 85% en poids de coton, d'un poids &gt; 100 g/m² mais &lt;= 200 g/m²")</f>
        <v xml:space="preserve">   Tissus de coton, imprimés, à armure toile, contenant &gt;= 85% en poids de coton, d'un poids &gt; 100 g/m² mais &lt;= 200 g/m²</v>
      </c>
      <c r="C6471">
        <v>101330733</v>
      </c>
      <c r="D6471">
        <v>112176</v>
      </c>
    </row>
    <row r="6472" spans="1:4" x14ac:dyDescent="0.25">
      <c r="A6472" t="str">
        <f>T("   520859")</f>
        <v xml:space="preserve">   520859</v>
      </c>
      <c r="B6472" t="str">
        <f>T("   TISSUS DE COTON, IMPRIMÉS, CONTENANT &gt;= 85% EN POIDS DE COTON, D'UN POIDS &lt;= 200 G/M² (À L'EXCL. DES TISSUS À ARMURE TOILE)")</f>
        <v xml:space="preserve">   TISSUS DE COTON, IMPRIMÉS, CONTENANT &gt;= 85% EN POIDS DE COTON, D'UN POIDS &lt;= 200 G/M² (À L'EXCL. DES TISSUS À ARMURE TOILE)</v>
      </c>
      <c r="C6472">
        <v>12020181</v>
      </c>
      <c r="D6472">
        <v>26780</v>
      </c>
    </row>
    <row r="6473" spans="1:4" x14ac:dyDescent="0.25">
      <c r="A6473" t="str">
        <f>T("   610349")</f>
        <v xml:space="preserve">   610349</v>
      </c>
      <c r="B6473" t="str">
        <f>T("   PANTALONS, Y.C. KNICKERS ET PANTALONS SIMIL., SALOPETTES À BRETELLES, CULOTTES ET SHORTS, EN BONNETERIE, DE MATIÈRES TEXTILES, POUR HOMMES OU GARÇONNETS (SAUF DE LAINE, POILS FINS, COTON OU FIBRES SYNTHÉTIQUES ET SAUF CALETHONS ET SLIPS DE BAIN)")</f>
        <v xml:space="preserve">   PANTALONS, Y.C. KNICKERS ET PANTALONS SIMIL., SALOPETTES À BRETELLES, CULOTTES ET SHORTS, EN BONNETERIE, DE MATIÈRES TEXTILES, POUR HOMMES OU GARÇONNETS (SAUF DE LAINE, POILS FINS, COTON OU FIBRES SYNTHÉTIQUES ET SAUF CALETHONS ET SLIPS DE BAIN)</v>
      </c>
      <c r="C6473">
        <v>181506957</v>
      </c>
      <c r="D6473">
        <v>380001</v>
      </c>
    </row>
    <row r="6474" spans="1:4" x14ac:dyDescent="0.25">
      <c r="A6474" t="str">
        <f>T("   610590")</f>
        <v xml:space="preserve">   610590</v>
      </c>
      <c r="B6474" t="str">
        <f>T("   Chemises et chemisettes, en bonneterie, de matières textiles, pour hommes ou garçonnets (sauf de coton, fibres synthétiques ou artificielles et sauf chemises de nuit, T-shirts et maillots de corps)")</f>
        <v xml:space="preserve">   Chemises et chemisettes, en bonneterie, de matières textiles, pour hommes ou garçonnets (sauf de coton, fibres synthétiques ou artificielles et sauf chemises de nuit, T-shirts et maillots de corps)</v>
      </c>
      <c r="C6474">
        <v>943575578</v>
      </c>
      <c r="D6474">
        <v>2037775</v>
      </c>
    </row>
    <row r="6475" spans="1:4" x14ac:dyDescent="0.25">
      <c r="A6475" t="str">
        <f>T("   610719")</f>
        <v xml:space="preserve">   610719</v>
      </c>
      <c r="B6475" t="str">
        <f>T("   SLIPS ET CALETHONS, EN BONNETERIE, DE MATIÈRES TEXTILES, POUR HOMMES OU GARÇONNETS (SAUF DE COTON OU FIBRES SYNTHÉTIQUES OU ARTIFICIELLES)")</f>
        <v xml:space="preserve">   SLIPS ET CALETHONS, EN BONNETERIE, DE MATIÈRES TEXTILES, POUR HOMMES OU GARÇONNETS (SAUF DE COTON OU FIBRES SYNTHÉTIQUES OU ARTIFICIELLES)</v>
      </c>
      <c r="C6475">
        <v>1135000</v>
      </c>
      <c r="D6475">
        <v>2000</v>
      </c>
    </row>
    <row r="6476" spans="1:4" x14ac:dyDescent="0.25">
      <c r="A6476" t="str">
        <f>T("   610990")</f>
        <v xml:space="preserve">   610990</v>
      </c>
      <c r="B6476" t="str">
        <f>T("   T-shirts et maillots de corps, en bonneterie, de matières textiles (sauf de coton)")</f>
        <v xml:space="preserve">   T-shirts et maillots de corps, en bonneterie, de matières textiles (sauf de coton)</v>
      </c>
      <c r="C6476">
        <v>65313084</v>
      </c>
      <c r="D6476">
        <v>135000</v>
      </c>
    </row>
    <row r="6477" spans="1:4" x14ac:dyDescent="0.25">
      <c r="A6477" t="str">
        <f>T("   611490")</f>
        <v xml:space="preserve">   611490</v>
      </c>
      <c r="B6477" t="str">
        <f>T("   Vêtements spéciaux destinés à des fins professionnelles, sportives ou autres n.d.a., en bonneterie, de matières textiles (sauf de laine, poils fins, coton, fibres synthétiques ou artificielles)")</f>
        <v xml:space="preserve">   Vêtements spéciaux destinés à des fins professionnelles, sportives ou autres n.d.a., en bonneterie, de matières textiles (sauf de laine, poils fins, coton, fibres synthétiques ou artificielles)</v>
      </c>
      <c r="C6477">
        <v>145153145</v>
      </c>
      <c r="D6477">
        <v>303600</v>
      </c>
    </row>
    <row r="6478" spans="1:4" x14ac:dyDescent="0.25">
      <c r="A6478" t="str">
        <f>T("   620199")</f>
        <v xml:space="preserve">   620199</v>
      </c>
      <c r="B6478" t="s">
        <v>264</v>
      </c>
      <c r="C6478">
        <v>2195000</v>
      </c>
      <c r="D6478">
        <v>2000</v>
      </c>
    </row>
    <row r="6479" spans="1:4" x14ac:dyDescent="0.25">
      <c r="A6479" t="str">
        <f>T("   620342")</f>
        <v xml:space="preserve">   620342</v>
      </c>
      <c r="B6479" t="str">
        <f>T("   Pantalons, y.c. knickers et pantalons simil., salopettes à bretelles, culottes et shorts, de coton, pour hommes ou garçonnets (autres qu'en bonneterie et sauf slips et caleçons ainsi que maillots, culottes et slips de bain)")</f>
        <v xml:space="preserve">   Pantalons, y.c. knickers et pantalons simil., salopettes à bretelles, culottes et shorts, de coton, pour hommes ou garçonnets (autres qu'en bonneterie et sauf slips et caleçons ainsi que maillots, culottes et slips de bain)</v>
      </c>
      <c r="C6479">
        <v>110110441</v>
      </c>
      <c r="D6479">
        <v>264908</v>
      </c>
    </row>
    <row r="6480" spans="1:4" x14ac:dyDescent="0.25">
      <c r="A6480" t="str">
        <f>T("   620349")</f>
        <v xml:space="preserve">   620349</v>
      </c>
      <c r="B6480" t="s">
        <v>266</v>
      </c>
      <c r="C6480">
        <v>2049192978</v>
      </c>
      <c r="D6480">
        <v>4262051</v>
      </c>
    </row>
    <row r="6481" spans="1:4" x14ac:dyDescent="0.25">
      <c r="A6481" t="str">
        <f>T("   620590")</f>
        <v xml:space="preserve">   620590</v>
      </c>
      <c r="B6481"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6481">
        <v>1210246</v>
      </c>
      <c r="D6481">
        <v>2782</v>
      </c>
    </row>
    <row r="6482" spans="1:4" x14ac:dyDescent="0.25">
      <c r="A6482" t="str">
        <f>T("   621020")</f>
        <v xml:space="preserve">   621020</v>
      </c>
      <c r="B6482" t="str">
        <f>T("   Vêtements des types du n° 6201.11 à 6201.19 [manteaux, cabans, capes et articles simil.], caoutchoutés ou imprégnés, enduits ou recouverts de matière plastique ou d'autres substances")</f>
        <v xml:space="preserve">   Vêtements des types du n° 6201.11 à 6201.19 [manteaux, cabans, capes et articles simil.], caoutchoutés ou imprégnés, enduits ou recouverts de matière plastique ou d'autres substances</v>
      </c>
      <c r="C6482">
        <v>4536233</v>
      </c>
      <c r="D6482">
        <v>10500</v>
      </c>
    </row>
    <row r="6483" spans="1:4" x14ac:dyDescent="0.25">
      <c r="A6483" t="str">
        <f>T("   621040")</f>
        <v xml:space="preserve">   621040</v>
      </c>
      <c r="B6483" t="s">
        <v>271</v>
      </c>
      <c r="C6483">
        <v>232266642</v>
      </c>
      <c r="D6483">
        <v>489620</v>
      </c>
    </row>
    <row r="6484" spans="1:4" x14ac:dyDescent="0.25">
      <c r="A6484" t="str">
        <f>T("   621320")</f>
        <v xml:space="preserve">   621320</v>
      </c>
      <c r="B6484" t="str">
        <f>T("   Mouchoirs et pochettes dont un côté &lt;= 60 cm, de coton (autres qu'en bonneterie)")</f>
        <v xml:space="preserve">   Mouchoirs et pochettes dont un côté &lt;= 60 cm, de coton (autres qu'en bonneterie)</v>
      </c>
      <c r="C6484">
        <v>1135000</v>
      </c>
      <c r="D6484">
        <v>2000</v>
      </c>
    </row>
    <row r="6485" spans="1:4" x14ac:dyDescent="0.25">
      <c r="A6485" t="str">
        <f>T("   630399")</f>
        <v xml:space="preserve">   630399</v>
      </c>
      <c r="B6485" t="str">
        <f>T("   Vitrages, rideaux et stores d'intérieur ainsi que cantonnières et tours de lit, de matières textiles (autres que de coton et fibres synthétiques, autres qu'en bonneterie et autres que stores d'extérieur)")</f>
        <v xml:space="preserve">   Vitrages, rideaux et stores d'intérieur ainsi que cantonnières et tours de lit, de matières textiles (autres que de coton et fibres synthétiques, autres qu'en bonneterie et autres que stores d'extérieur)</v>
      </c>
      <c r="C6485">
        <v>82891</v>
      </c>
      <c r="D6485">
        <v>80</v>
      </c>
    </row>
    <row r="6486" spans="1:4" x14ac:dyDescent="0.25">
      <c r="A6486" t="str">
        <f>T("   630900")</f>
        <v xml:space="preserve">   630900</v>
      </c>
      <c r="B6486" t="s">
        <v>278</v>
      </c>
      <c r="C6486">
        <v>23765672</v>
      </c>
      <c r="D6486">
        <v>33950</v>
      </c>
    </row>
    <row r="6487" spans="1:4" x14ac:dyDescent="0.25">
      <c r="A6487" t="str">
        <f>T("   640320")</f>
        <v xml:space="preserve">   640320</v>
      </c>
      <c r="B6487" t="str">
        <f>T("   Chaussures à semelles extérieures en cuir naturel et dessus constitués de lanières en cuir naturel passant sur le cou-de-pied et entourant le gros orteil")</f>
        <v xml:space="preserve">   Chaussures à semelles extérieures en cuir naturel et dessus constitués de lanières en cuir naturel passant sur le cou-de-pied et entourant le gros orteil</v>
      </c>
      <c r="C6487">
        <v>217000</v>
      </c>
      <c r="D6487">
        <v>150</v>
      </c>
    </row>
    <row r="6488" spans="1:4" x14ac:dyDescent="0.25">
      <c r="A6488" t="str">
        <f>T("   640391")</f>
        <v xml:space="preserve">   640391</v>
      </c>
      <c r="B6488" t="s">
        <v>286</v>
      </c>
      <c r="C6488">
        <v>12000000</v>
      </c>
      <c r="D6488">
        <v>4394</v>
      </c>
    </row>
    <row r="6489" spans="1:4" x14ac:dyDescent="0.25">
      <c r="A6489" t="str">
        <f>T("   690100")</f>
        <v xml:space="preserve">   690100</v>
      </c>
      <c r="B6489" t="str">
        <f>T("   Briques, dalles, carreaux et autres pièces céramiques, en farines siliceuses fossiles [p.ex. kieselguhr, tripolite, diatomite], ou en terres siliceuses analogues")</f>
        <v xml:space="preserve">   Briques, dalles, carreaux et autres pièces céramiques, en farines siliceuses fossiles [p.ex. kieselguhr, tripolite, diatomite], ou en terres siliceuses analogues</v>
      </c>
      <c r="C6489">
        <v>35000</v>
      </c>
      <c r="D6489">
        <v>288</v>
      </c>
    </row>
    <row r="6490" spans="1:4" x14ac:dyDescent="0.25">
      <c r="A6490" t="str">
        <f>T("   690890")</f>
        <v xml:space="preserve">   690890</v>
      </c>
      <c r="B6490" t="s">
        <v>311</v>
      </c>
      <c r="C6490">
        <v>8192571</v>
      </c>
      <c r="D6490">
        <v>78000</v>
      </c>
    </row>
    <row r="6491" spans="1:4" x14ac:dyDescent="0.25">
      <c r="A6491" t="str">
        <f>T("   691490")</f>
        <v xml:space="preserve">   691490</v>
      </c>
      <c r="B6491" t="str">
        <f>T("   Ouvrages en céramique autres que la porcelaine n.d.a.")</f>
        <v xml:space="preserve">   Ouvrages en céramique autres que la porcelaine n.d.a.</v>
      </c>
      <c r="C6491">
        <v>500497</v>
      </c>
      <c r="D6491">
        <v>850</v>
      </c>
    </row>
    <row r="6492" spans="1:4" x14ac:dyDescent="0.25">
      <c r="A6492" t="str">
        <f>T("   700910")</f>
        <v xml:space="preserve">   700910</v>
      </c>
      <c r="B6492" t="str">
        <f>T("   Miroirs rétroviseurs en verre, même encadrés, pour véhicules")</f>
        <v xml:space="preserve">   Miroirs rétroviseurs en verre, même encadrés, pour véhicules</v>
      </c>
      <c r="C6492">
        <v>91556</v>
      </c>
      <c r="D6492">
        <v>75</v>
      </c>
    </row>
    <row r="6493" spans="1:4" x14ac:dyDescent="0.25">
      <c r="A6493" t="str">
        <f>T("   701190")</f>
        <v xml:space="preserve">   701190</v>
      </c>
      <c r="B6493" t="str">
        <f>T("   Ampoules en verre, ouvertes, et enveloppes tubulaires en verre, ouvertes, et leurs parties en verre, sans garnitures, destinées à des lampes électriques ou simil. (autres que pour l'éclairage électrique ou pour tubes cathodique)")</f>
        <v xml:space="preserve">   Ampoules en verre, ouvertes, et enveloppes tubulaires en verre, ouvertes, et leurs parties en verre, sans garnitures, destinées à des lampes électriques ou simil. (autres que pour l'éclairage électrique ou pour tubes cathodique)</v>
      </c>
      <c r="C6493">
        <v>1020642</v>
      </c>
      <c r="D6493">
        <v>1940</v>
      </c>
    </row>
    <row r="6494" spans="1:4" x14ac:dyDescent="0.25">
      <c r="A6494" t="str">
        <f>T("   701939")</f>
        <v xml:space="preserve">   701939</v>
      </c>
      <c r="B6494" t="str">
        <f>T("   Nappes, matelas, panneaux et produits simil., non tissés, de fibres de verre (à l'excl. des mats et des voiles)")</f>
        <v xml:space="preserve">   Nappes, matelas, panneaux et produits simil., non tissés, de fibres de verre (à l'excl. des mats et des voiles)</v>
      </c>
      <c r="C6494">
        <v>1528944</v>
      </c>
      <c r="D6494">
        <v>3171</v>
      </c>
    </row>
    <row r="6495" spans="1:4" x14ac:dyDescent="0.25">
      <c r="A6495" t="str">
        <f>T("   711790")</f>
        <v xml:space="preserve">   711790</v>
      </c>
      <c r="B6495" t="str">
        <f>T("   Bijouterie de fantaisie (autre qu'en métaux communs, même argentés, dorés ou platinés)")</f>
        <v xml:space="preserve">   Bijouterie de fantaisie (autre qu'en métaux communs, même argentés, dorés ou platinés)</v>
      </c>
      <c r="C6495">
        <v>695000</v>
      </c>
      <c r="D6495">
        <v>292</v>
      </c>
    </row>
    <row r="6496" spans="1:4" x14ac:dyDescent="0.25">
      <c r="A6496" t="str">
        <f>T("   721720")</f>
        <v xml:space="preserve">   721720</v>
      </c>
      <c r="B6496" t="str">
        <f>T("   FILS EN FER OU EN ACIERS NON-ALLIÉS, ENROULÉS, ZINGUÉS (À L'EXCL. DU FIL MACHINE)")</f>
        <v xml:space="preserve">   FILS EN FER OU EN ACIERS NON-ALLIÉS, ENROULÉS, ZINGUÉS (À L'EXCL. DU FIL MACHINE)</v>
      </c>
      <c r="C6496">
        <v>9012767</v>
      </c>
      <c r="D6496">
        <v>18693</v>
      </c>
    </row>
    <row r="6497" spans="1:4" x14ac:dyDescent="0.25">
      <c r="A6497" t="str">
        <f>T("   730490")</f>
        <v xml:space="preserve">   730490</v>
      </c>
      <c r="B6497" t="str">
        <f>T("   Tubes, tuyaux et profilés creux, sans soudure, de section autre que circulaire, en fer (à l'excl. de la fonte) ou en acier")</f>
        <v xml:space="preserve">   Tubes, tuyaux et profilés creux, sans soudure, de section autre que circulaire, en fer (à l'excl. de la fonte) ou en acier</v>
      </c>
      <c r="C6497">
        <v>879542</v>
      </c>
      <c r="D6497">
        <v>26405</v>
      </c>
    </row>
    <row r="6498" spans="1:4" x14ac:dyDescent="0.25">
      <c r="A6498" t="str">
        <f>T("   730830")</f>
        <v xml:space="preserve">   730830</v>
      </c>
      <c r="B6498" t="str">
        <f>T("   Portes, fenêtres et leurs cadres et chambranles ainsi que leurs seuils, en fer ou en acier")</f>
        <v xml:space="preserve">   Portes, fenêtres et leurs cadres et chambranles ainsi que leurs seuils, en fer ou en acier</v>
      </c>
      <c r="C6498">
        <v>2740000</v>
      </c>
      <c r="D6498">
        <v>8950</v>
      </c>
    </row>
    <row r="6499" spans="1:4" x14ac:dyDescent="0.25">
      <c r="A6499" t="str">
        <f>T("   731449")</f>
        <v xml:space="preserve">   731449</v>
      </c>
      <c r="B6499" t="str">
        <f>T("   Toiles métalliques nontissées, grillages et treillis, en fils de fer ou d'acier, non soudés aux points de rencontre (sauf zingués ou recouverts de matières plastiques)")</f>
        <v xml:space="preserve">   Toiles métalliques nontissées, grillages et treillis, en fils de fer ou d'acier, non soudés aux points de rencontre (sauf zingués ou recouverts de matières plastiques)</v>
      </c>
      <c r="C6499">
        <v>1512210</v>
      </c>
      <c r="D6499">
        <v>3136</v>
      </c>
    </row>
    <row r="6500" spans="1:4" x14ac:dyDescent="0.25">
      <c r="A6500" t="str">
        <f>T("   732111")</f>
        <v xml:space="preserve">   732111</v>
      </c>
      <c r="B6500" t="s">
        <v>361</v>
      </c>
      <c r="C6500">
        <v>15358</v>
      </c>
      <c r="D6500">
        <v>10.5</v>
      </c>
    </row>
    <row r="6501" spans="1:4" x14ac:dyDescent="0.25">
      <c r="A6501" t="str">
        <f>T("   732394")</f>
        <v xml:space="preserve">   732394</v>
      </c>
      <c r="B6501" t="s">
        <v>367</v>
      </c>
      <c r="C6501">
        <v>605000</v>
      </c>
      <c r="D6501">
        <v>2000</v>
      </c>
    </row>
    <row r="6502" spans="1:4" x14ac:dyDescent="0.25">
      <c r="A6502" t="str">
        <f>T("   732410")</f>
        <v xml:space="preserve">   732410</v>
      </c>
      <c r="B6502" t="str">
        <f>T("   ÉVIERS ET LAVABOS EN ACIER INOXYDABLE")</f>
        <v xml:space="preserve">   ÉVIERS ET LAVABOS EN ACIER INOXYDABLE</v>
      </c>
      <c r="C6502">
        <v>10042</v>
      </c>
      <c r="D6502">
        <v>15</v>
      </c>
    </row>
    <row r="6503" spans="1:4" x14ac:dyDescent="0.25">
      <c r="A6503" t="str">
        <f>T("   760429")</f>
        <v xml:space="preserve">   760429</v>
      </c>
      <c r="B6503" t="str">
        <f>T("   Barres et profilés pleins en alliages d'aluminium, n.d.a.")</f>
        <v xml:space="preserve">   Barres et profilés pleins en alliages d'aluminium, n.d.a.</v>
      </c>
      <c r="C6503">
        <v>5645000</v>
      </c>
      <c r="D6503">
        <v>18009</v>
      </c>
    </row>
    <row r="6504" spans="1:4" x14ac:dyDescent="0.25">
      <c r="A6504" t="str">
        <f>T("   821599")</f>
        <v xml:space="preserve">   821599</v>
      </c>
      <c r="B6504" t="s">
        <v>380</v>
      </c>
      <c r="C6504">
        <v>100000</v>
      </c>
      <c r="D6504">
        <v>61</v>
      </c>
    </row>
    <row r="6505" spans="1:4" x14ac:dyDescent="0.25">
      <c r="A6505" t="str">
        <f>T("   830110")</f>
        <v xml:space="preserve">   830110</v>
      </c>
      <c r="B6505" t="str">
        <f>T("   Cadenas, en métaux communs")</f>
        <v xml:space="preserve">   Cadenas, en métaux communs</v>
      </c>
      <c r="C6505">
        <v>646555</v>
      </c>
      <c r="D6505">
        <v>4348</v>
      </c>
    </row>
    <row r="6506" spans="1:4" x14ac:dyDescent="0.25">
      <c r="A6506" t="str">
        <f>T("   840732")</f>
        <v xml:space="preserve">   840732</v>
      </c>
      <c r="B6506" t="s">
        <v>389</v>
      </c>
      <c r="C6506">
        <v>12000839</v>
      </c>
      <c r="D6506">
        <v>24000</v>
      </c>
    </row>
    <row r="6507" spans="1:4" x14ac:dyDescent="0.25">
      <c r="A6507" t="str">
        <f>T("   840999")</f>
        <v xml:space="preserve">   840999</v>
      </c>
      <c r="B6507"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6507">
        <v>555966</v>
      </c>
      <c r="D6507">
        <v>388</v>
      </c>
    </row>
    <row r="6508" spans="1:4" x14ac:dyDescent="0.25">
      <c r="A6508" t="str">
        <f>T("   841451")</f>
        <v xml:space="preserve">   841451</v>
      </c>
      <c r="B6508" t="str">
        <f>T("   Ventilateurs de table, de sol, muraux, plafonniers, de toitures ou de fenêtres, à moteur électrique incorporé, d'une puissance &lt;= 125 W")</f>
        <v xml:space="preserve">   Ventilateurs de table, de sol, muraux, plafonniers, de toitures ou de fenêtres, à moteur électrique incorporé, d'une puissance &lt;= 125 W</v>
      </c>
      <c r="C6508">
        <v>1467448</v>
      </c>
      <c r="D6508">
        <v>5365</v>
      </c>
    </row>
    <row r="6509" spans="1:4" x14ac:dyDescent="0.25">
      <c r="A6509" t="str">
        <f>T("   841510")</f>
        <v xml:space="preserve">   841510</v>
      </c>
      <c r="B6509" t="s">
        <v>399</v>
      </c>
      <c r="C6509">
        <v>135762</v>
      </c>
      <c r="D6509">
        <v>60</v>
      </c>
    </row>
    <row r="6510" spans="1:4" x14ac:dyDescent="0.25">
      <c r="A6510" t="str">
        <f>T("   841829")</f>
        <v xml:space="preserve">   841829</v>
      </c>
      <c r="B6510" t="str">
        <f>T("   Réfrigérateurs ménagers à absorption, non-électriques")</f>
        <v xml:space="preserve">   Réfrigérateurs ménagers à absorption, non-électriques</v>
      </c>
      <c r="C6510">
        <v>736404</v>
      </c>
      <c r="D6510">
        <v>2150</v>
      </c>
    </row>
    <row r="6511" spans="1:4" x14ac:dyDescent="0.25">
      <c r="A6511" t="str">
        <f>T("   842382")</f>
        <v xml:space="preserve">   842382</v>
      </c>
      <c r="B6511" t="str">
        <f>T("   Appareils et instruments de pesage, portée &gt; 30 kg mais &lt;= 5000 kg (à l'excl. des pèse-personnes, bascules à pesage continu sur transporteurs, bascules à pesées constantes et balances et bascules ensacheuses ou doseuses)")</f>
        <v xml:space="preserve">   Appareils et instruments de pesage, portée &gt; 30 kg mais &lt;= 5000 kg (à l'excl. des pèse-personnes, bascules à pesage continu sur transporteurs, bascules à pesées constantes et balances et bascules ensacheuses ou doseuses)</v>
      </c>
      <c r="C6511">
        <v>3560551</v>
      </c>
      <c r="D6511">
        <v>290</v>
      </c>
    </row>
    <row r="6512" spans="1:4" x14ac:dyDescent="0.25">
      <c r="A6512" t="str">
        <f>T("   844390")</f>
        <v xml:space="preserve">   844390</v>
      </c>
      <c r="B6512" t="str">
        <f>T("   Parties de machines et appareils à imprimer et de leur machines et appareils auxiliaires, n.d.a.")</f>
        <v xml:space="preserve">   Parties de machines et appareils à imprimer et de leur machines et appareils auxiliaires, n.d.a.</v>
      </c>
      <c r="C6512">
        <v>759014</v>
      </c>
      <c r="D6512">
        <v>12</v>
      </c>
    </row>
    <row r="6513" spans="1:4" x14ac:dyDescent="0.25">
      <c r="A6513" t="str">
        <f>T("   847149")</f>
        <v xml:space="preserve">   847149</v>
      </c>
      <c r="B6513" t="s">
        <v>437</v>
      </c>
      <c r="C6513">
        <v>18462727</v>
      </c>
      <c r="D6513">
        <v>4351</v>
      </c>
    </row>
    <row r="6514" spans="1:4" x14ac:dyDescent="0.25">
      <c r="A6514" t="str">
        <f>T("   847160")</f>
        <v xml:space="preserve">   847160</v>
      </c>
      <c r="B6514" t="str">
        <f>T("   UNITÉS D'ENTRÉE OU DE SORTIE POUR MACHINES AUTOMATIQUES DE TRAITEMENT DE L'INFORMATION, POUVANT COMPORTER, SOUS LA MÊME ENVELOPPE, DES UNITÉS DE MÉMOIRE")</f>
        <v xml:space="preserve">   UNITÉS D'ENTRÉE OU DE SORTIE POUR MACHINES AUTOMATIQUES DE TRAITEMENT DE L'INFORMATION, POUVANT COMPORTER, SOUS LA MÊME ENVELOPPE, DES UNITÉS DE MÉMOIRE</v>
      </c>
      <c r="C6514">
        <v>1204127</v>
      </c>
      <c r="D6514">
        <v>70</v>
      </c>
    </row>
    <row r="6515" spans="1:4" x14ac:dyDescent="0.25">
      <c r="A6515" t="str">
        <f>T("   847180")</f>
        <v xml:space="preserve">   847180</v>
      </c>
      <c r="B6515"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6515">
        <v>5610426</v>
      </c>
      <c r="D6515">
        <v>7500</v>
      </c>
    </row>
    <row r="6516" spans="1:4" x14ac:dyDescent="0.25">
      <c r="A6516" t="str">
        <f>T("   847190")</f>
        <v xml:space="preserve">   847190</v>
      </c>
      <c r="B6516"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6516">
        <v>502809</v>
      </c>
      <c r="D6516">
        <v>6</v>
      </c>
    </row>
    <row r="6517" spans="1:4" x14ac:dyDescent="0.25">
      <c r="A6517" t="str">
        <f>T("   850410")</f>
        <v xml:space="preserve">   850410</v>
      </c>
      <c r="B6517" t="str">
        <f>T("   Ballasts pour lampes ou tubes à décharge")</f>
        <v xml:space="preserve">   Ballasts pour lampes ou tubes à décharge</v>
      </c>
      <c r="C6517">
        <v>534475</v>
      </c>
      <c r="D6517">
        <v>440</v>
      </c>
    </row>
    <row r="6518" spans="1:4" x14ac:dyDescent="0.25">
      <c r="A6518" t="str">
        <f>T("   850440")</f>
        <v xml:space="preserve">   850440</v>
      </c>
      <c r="B6518" t="str">
        <f>T("   CONVERTISSEURS STATIQUES")</f>
        <v xml:space="preserve">   CONVERTISSEURS STATIQUES</v>
      </c>
      <c r="C6518">
        <v>11838766</v>
      </c>
      <c r="D6518">
        <v>3543</v>
      </c>
    </row>
    <row r="6519" spans="1:4" x14ac:dyDescent="0.25">
      <c r="A6519" t="str">
        <f>T("   850980")</f>
        <v xml:space="preserve">   850980</v>
      </c>
      <c r="B6519" t="s">
        <v>452</v>
      </c>
      <c r="C6519">
        <v>101710</v>
      </c>
      <c r="D6519">
        <v>25</v>
      </c>
    </row>
    <row r="6520" spans="1:4" x14ac:dyDescent="0.25">
      <c r="A6520" t="str">
        <f>T("   851780")</f>
        <v xml:space="preserve">   851780</v>
      </c>
      <c r="B6520" t="s">
        <v>458</v>
      </c>
      <c r="C6520">
        <v>15605597</v>
      </c>
      <c r="D6520">
        <v>4076.4</v>
      </c>
    </row>
    <row r="6521" spans="1:4" x14ac:dyDescent="0.25">
      <c r="A6521" t="str">
        <f>T("   851790")</f>
        <v xml:space="preserve">   851790</v>
      </c>
      <c r="B6521" t="s">
        <v>459</v>
      </c>
      <c r="C6521">
        <v>3111152</v>
      </c>
      <c r="D6521">
        <v>2034.8</v>
      </c>
    </row>
    <row r="6522" spans="1:4" x14ac:dyDescent="0.25">
      <c r="A6522" t="str">
        <f>T("   851829")</f>
        <v xml:space="preserve">   851829</v>
      </c>
      <c r="B6522" t="str">
        <f>T("   Haut-parleurs sans enceinte")</f>
        <v xml:space="preserve">   Haut-parleurs sans enceinte</v>
      </c>
      <c r="C6522">
        <v>255824</v>
      </c>
      <c r="D6522">
        <v>950</v>
      </c>
    </row>
    <row r="6523" spans="1:4" x14ac:dyDescent="0.25">
      <c r="A6523" t="str">
        <f>T("   852190")</f>
        <v xml:space="preserve">   852190</v>
      </c>
      <c r="B6523" t="s">
        <v>462</v>
      </c>
      <c r="C6523">
        <v>1174431</v>
      </c>
      <c r="D6523">
        <v>4045</v>
      </c>
    </row>
    <row r="6524" spans="1:4" x14ac:dyDescent="0.25">
      <c r="A6524" t="str">
        <f>T("   852719")</f>
        <v xml:space="preserve">   852719</v>
      </c>
      <c r="B6524" t="str">
        <f>T("   Récepteurs de radiodiffusion pouvant fonctionner sans source d'énergie extérieure, y.c. les appareils recevant également la radiotéléphonie ou la radiotélégraphie, non combinés à un appareil d'enregistrement et de reproduction du son")</f>
        <v xml:space="preserve">   Récepteurs de radiodiffusion pouvant fonctionner sans source d'énergie extérieure, y.c. les appareils recevant également la radiotéléphonie ou la radiotélégraphie, non combinés à un appareil d'enregistrement et de reproduction du son</v>
      </c>
      <c r="C6524">
        <v>1547368</v>
      </c>
      <c r="D6524">
        <v>5327</v>
      </c>
    </row>
    <row r="6525" spans="1:4" x14ac:dyDescent="0.25">
      <c r="A6525" t="str">
        <f>T("   852790")</f>
        <v xml:space="preserve">   852790</v>
      </c>
      <c r="B6525" t="str">
        <f>T("   Récepteurs pour la radiotéléphonie, la radiotélégraphie ou la radiodiffusion commerciale")</f>
        <v xml:space="preserve">   Récepteurs pour la radiotéléphonie, la radiotélégraphie ou la radiodiffusion commerciale</v>
      </c>
      <c r="C6525">
        <v>364714</v>
      </c>
      <c r="D6525">
        <v>2100</v>
      </c>
    </row>
    <row r="6526" spans="1:4" x14ac:dyDescent="0.25">
      <c r="A6526" t="str">
        <f>T("   852812")</f>
        <v xml:space="preserve">   852812</v>
      </c>
      <c r="B6526"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6526">
        <v>5159460</v>
      </c>
      <c r="D6526">
        <v>7442</v>
      </c>
    </row>
    <row r="6527" spans="1:4" x14ac:dyDescent="0.25">
      <c r="A6527" t="str">
        <f>T("   852910")</f>
        <v xml:space="preserve">   852910</v>
      </c>
      <c r="B6527"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6527">
        <v>882153</v>
      </c>
      <c r="D6527">
        <v>1946</v>
      </c>
    </row>
    <row r="6528" spans="1:4" x14ac:dyDescent="0.25">
      <c r="A6528" t="str">
        <f>T("   852990")</f>
        <v xml:space="preserve">   852990</v>
      </c>
      <c r="B6528" t="s">
        <v>471</v>
      </c>
      <c r="C6528">
        <v>1896558</v>
      </c>
      <c r="D6528">
        <v>3252</v>
      </c>
    </row>
    <row r="6529" spans="1:4" x14ac:dyDescent="0.25">
      <c r="A6529" t="str">
        <f>T("   853650")</f>
        <v xml:space="preserve">   853650</v>
      </c>
      <c r="B6529" t="str">
        <f>T("   Interrupteurs, sectionneurs et commutateurs, pour une tension &lt;= 1.000 V (autres que relais et disjoncteurs)")</f>
        <v xml:space="preserve">   Interrupteurs, sectionneurs et commutateurs, pour une tension &lt;= 1.000 V (autres que relais et disjoncteurs)</v>
      </c>
      <c r="C6529">
        <v>2448040</v>
      </c>
      <c r="D6529">
        <v>2016</v>
      </c>
    </row>
    <row r="6530" spans="1:4" x14ac:dyDescent="0.25">
      <c r="A6530" t="str">
        <f>T("   853669")</f>
        <v xml:space="preserve">   853669</v>
      </c>
      <c r="B6530" t="str">
        <f>T("   Fiches et prises de courant, pour une tension &lt;= 1.000 V (sauf douilles pour lampes)")</f>
        <v xml:space="preserve">   Fiches et prises de courant, pour une tension &lt;= 1.000 V (sauf douilles pour lampes)</v>
      </c>
      <c r="C6530">
        <v>2824267</v>
      </c>
      <c r="D6530">
        <v>3679</v>
      </c>
    </row>
    <row r="6531" spans="1:4" x14ac:dyDescent="0.25">
      <c r="A6531" t="str">
        <f>T("   853910")</f>
        <v xml:space="preserve">   853910</v>
      </c>
      <c r="B6531" t="str">
        <f>T("   Phares et projecteurs scellés")</f>
        <v xml:space="preserve">   Phares et projecteurs scellés</v>
      </c>
      <c r="C6531">
        <v>2123521</v>
      </c>
      <c r="D6531">
        <v>3566</v>
      </c>
    </row>
    <row r="6532" spans="1:4" x14ac:dyDescent="0.25">
      <c r="A6532" t="str">
        <f>T("   853931")</f>
        <v xml:space="preserve">   853931</v>
      </c>
      <c r="B6532" t="str">
        <f>T("   Lampes et tubes à décharge, fluorescents, à cathode chaude")</f>
        <v xml:space="preserve">   Lampes et tubes à décharge, fluorescents, à cathode chaude</v>
      </c>
      <c r="C6532">
        <v>7983574</v>
      </c>
      <c r="D6532">
        <v>11627</v>
      </c>
    </row>
    <row r="6533" spans="1:4" x14ac:dyDescent="0.25">
      <c r="A6533" t="str">
        <f>T("   853939")</f>
        <v xml:space="preserve">   853939</v>
      </c>
      <c r="B6533" t="str">
        <f>T("   Lampes et tubes à décharge (autres que fluorescents, à cathode chaude, à vapeur de mercure ou de sodium, à halogénure métallique et qu'à rayons ultraviolets)")</f>
        <v xml:space="preserve">   Lampes et tubes à décharge (autres que fluorescents, à cathode chaude, à vapeur de mercure ou de sodium, à halogénure métallique et qu'à rayons ultraviolets)</v>
      </c>
      <c r="C6533">
        <v>6232063</v>
      </c>
      <c r="D6533">
        <v>27826</v>
      </c>
    </row>
    <row r="6534" spans="1:4" x14ac:dyDescent="0.25">
      <c r="A6534" t="str">
        <f>T("   854449")</f>
        <v xml:space="preserve">   854449</v>
      </c>
      <c r="B6534" t="str">
        <f>T("   CONDUCTEURS ÉLECTRIQUES, POUR TENSION &lt;= 1.000 V, ISOLÉS, SANS PIÈCES DE CONNEXION, N.D.A.")</f>
        <v xml:space="preserve">   CONDUCTEURS ÉLECTRIQUES, POUR TENSION &lt;= 1.000 V, ISOLÉS, SANS PIÈCES DE CONNEXION, N.D.A.</v>
      </c>
      <c r="C6534">
        <v>773330</v>
      </c>
      <c r="D6534">
        <v>3500</v>
      </c>
    </row>
    <row r="6535" spans="1:4" x14ac:dyDescent="0.25">
      <c r="A6535" t="str">
        <f>T("   854459")</f>
        <v xml:space="preserve">   854459</v>
      </c>
      <c r="B6535" t="str">
        <f>T("   Conducteurs électriques, pour tension &gt; 80 V mais &lt;= 1.000 V, sans pièces de connexion, n.d.a.")</f>
        <v xml:space="preserve">   Conducteurs électriques, pour tension &gt; 80 V mais &lt;= 1.000 V, sans pièces de connexion, n.d.a.</v>
      </c>
      <c r="C6535">
        <v>2936019</v>
      </c>
      <c r="D6535">
        <v>2417</v>
      </c>
    </row>
    <row r="6536" spans="1:4" x14ac:dyDescent="0.25">
      <c r="A6536" t="str">
        <f>T("   854790")</f>
        <v xml:space="preserve">   854790</v>
      </c>
      <c r="B6536" t="str">
        <f>T("   Pièces isolantes, pour usages électriques (autres qu'en céramique ou en matières plastiques, et que tubes isolateurs et leurs pièces de raccordement, en métaux communs, isolés intérieurement)")</f>
        <v xml:space="preserve">   Pièces isolantes, pour usages électriques (autres qu'en céramique ou en matières plastiques, et que tubes isolateurs et leurs pièces de raccordement, en métaux communs, isolés intérieurement)</v>
      </c>
      <c r="C6536">
        <v>964000</v>
      </c>
      <c r="D6536">
        <v>2363</v>
      </c>
    </row>
    <row r="6537" spans="1:4" x14ac:dyDescent="0.25">
      <c r="A6537" t="str">
        <f>T("   870120")</f>
        <v xml:space="preserve">   870120</v>
      </c>
      <c r="B6537" t="str">
        <f>T("   Tracteurs routiers pour semi-remorques")</f>
        <v xml:space="preserve">   Tracteurs routiers pour semi-remorques</v>
      </c>
      <c r="C6537">
        <v>2509861</v>
      </c>
      <c r="D6537">
        <v>7260</v>
      </c>
    </row>
    <row r="6538" spans="1:4" x14ac:dyDescent="0.25">
      <c r="A6538" t="str">
        <f>T("   870210")</f>
        <v xml:space="preserve">   870210</v>
      </c>
      <c r="B6538" t="s">
        <v>477</v>
      </c>
      <c r="C6538">
        <v>2400000</v>
      </c>
      <c r="D6538">
        <v>3600</v>
      </c>
    </row>
    <row r="6539" spans="1:4" x14ac:dyDescent="0.25">
      <c r="A6539" t="str">
        <f>T("   870839")</f>
        <v xml:space="preserve">   870839</v>
      </c>
      <c r="B6539" t="str">
        <f>T("   FREINS ET SERVO-FREINS, ET LEURS PARTIES, POUR DE TRACTEURS, VÉHICULES POUR LE TRANSPORT DE &gt;= 10 PERSONNES, CHAUFFEUR INCLUS, VOITURES DE TOURISME, VÉHICULES POUR LE TRANSPORT DE MARCHANDISES ET VÉHICULES À USAGES SPÉCIAUX, N.D.A.")</f>
        <v xml:space="preserve">   FREINS ET SERVO-FREINS, ET LEURS PARTIES, POUR DE TRACTEURS, VÉHICULES POUR LE TRANSPORT DE &gt;= 10 PERSONNES, CHAUFFEUR INCLUS, VOITURES DE TOURISME, VÉHICULES POUR LE TRANSPORT DE MARCHANDISES ET VÉHICULES À USAGES SPÉCIAUX, N.D.A.</v>
      </c>
      <c r="C6539">
        <v>10534241</v>
      </c>
      <c r="D6539">
        <v>13</v>
      </c>
    </row>
    <row r="6540" spans="1:4" x14ac:dyDescent="0.25">
      <c r="A6540" t="str">
        <f>T("   870899")</f>
        <v xml:space="preserve">   870899</v>
      </c>
      <c r="B6540"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6540">
        <v>195095</v>
      </c>
      <c r="D6540">
        <v>180</v>
      </c>
    </row>
    <row r="6541" spans="1:4" x14ac:dyDescent="0.25">
      <c r="A6541" t="str">
        <f>T("   900410")</f>
        <v xml:space="preserve">   900410</v>
      </c>
      <c r="B6541" t="str">
        <f>T("   Lunettes solaires")</f>
        <v xml:space="preserve">   Lunettes solaires</v>
      </c>
      <c r="C6541">
        <v>191740</v>
      </c>
      <c r="D6541">
        <v>800</v>
      </c>
    </row>
    <row r="6542" spans="1:4" x14ac:dyDescent="0.25">
      <c r="A6542" t="str">
        <f>T("   901812")</f>
        <v xml:space="preserve">   901812</v>
      </c>
      <c r="B6542" t="str">
        <f>T("   Appareils de diagnostic par balayage ultrasonique [scanners]")</f>
        <v xml:space="preserve">   Appareils de diagnostic par balayage ultrasonique [scanners]</v>
      </c>
      <c r="C6542">
        <v>20700625</v>
      </c>
      <c r="D6542">
        <v>966</v>
      </c>
    </row>
    <row r="6543" spans="1:4" x14ac:dyDescent="0.25">
      <c r="A6543" t="str">
        <f>T("   901890")</f>
        <v xml:space="preserve">   901890</v>
      </c>
      <c r="B6543" t="str">
        <f>T("   Instruments et appareils pour la médecine, la chirurgie ou l'art vétérinaire, n.d.a.")</f>
        <v xml:space="preserve">   Instruments et appareils pour la médecine, la chirurgie ou l'art vétérinaire, n.d.a.</v>
      </c>
      <c r="C6543">
        <v>1414603</v>
      </c>
      <c r="D6543">
        <v>85</v>
      </c>
    </row>
    <row r="6544" spans="1:4" x14ac:dyDescent="0.25">
      <c r="A6544" t="str">
        <f>T("   903289")</f>
        <v xml:space="preserve">   903289</v>
      </c>
      <c r="B6544" t="s">
        <v>508</v>
      </c>
      <c r="C6544">
        <v>2715949</v>
      </c>
      <c r="D6544">
        <v>1268</v>
      </c>
    </row>
    <row r="6545" spans="1:4" x14ac:dyDescent="0.25">
      <c r="A6545" t="str">
        <f>T("   940320")</f>
        <v xml:space="preserve">   940320</v>
      </c>
      <c r="B6545"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6545">
        <v>20133</v>
      </c>
      <c r="D6545">
        <v>17</v>
      </c>
    </row>
    <row r="6546" spans="1:4" x14ac:dyDescent="0.25">
      <c r="A6546" t="str">
        <f>T("   940350")</f>
        <v xml:space="preserve">   940350</v>
      </c>
      <c r="B6546" t="str">
        <f>T("   Meubles pour chambres à coucher, en bois (sauf sièges)")</f>
        <v xml:space="preserve">   Meubles pour chambres à coucher, en bois (sauf sièges)</v>
      </c>
      <c r="C6546">
        <v>1108751</v>
      </c>
      <c r="D6546">
        <v>519.1</v>
      </c>
    </row>
    <row r="6547" spans="1:4" x14ac:dyDescent="0.25">
      <c r="A6547" t="str">
        <f>T("   940380")</f>
        <v xml:space="preserve">   940380</v>
      </c>
      <c r="B6547" t="str">
        <f>T("   Meubles en rotin, osier, bambou ou autres matières (sauf métal, bois et matières plastiques)")</f>
        <v xml:space="preserve">   Meubles en rotin, osier, bambou ou autres matières (sauf métal, bois et matières plastiques)</v>
      </c>
      <c r="C6547">
        <v>1249604</v>
      </c>
      <c r="D6547">
        <v>950</v>
      </c>
    </row>
    <row r="6548" spans="1:4" x14ac:dyDescent="0.25">
      <c r="A6548" t="str">
        <f>T("   940410")</f>
        <v xml:space="preserve">   940410</v>
      </c>
      <c r="B6548" t="str">
        <f>T("   Sommiers (sauf ressorts pour sièges)")</f>
        <v xml:space="preserve">   Sommiers (sauf ressorts pour sièges)</v>
      </c>
      <c r="C6548">
        <v>2153883</v>
      </c>
      <c r="D6548">
        <v>2616</v>
      </c>
    </row>
    <row r="6549" spans="1:4" x14ac:dyDescent="0.25">
      <c r="A6549" t="str">
        <f>T("   940490")</f>
        <v xml:space="preserve">   940490</v>
      </c>
      <c r="B6549" t="s">
        <v>514</v>
      </c>
      <c r="C6549">
        <v>1505000</v>
      </c>
      <c r="D6549">
        <v>540</v>
      </c>
    </row>
    <row r="6550" spans="1:4" x14ac:dyDescent="0.25">
      <c r="A6550" t="str">
        <f>T("   940510")</f>
        <v xml:space="preserve">   940510</v>
      </c>
      <c r="B6550" t="str">
        <f>T("   Lustres et autres appareils d'éclairage électrique à suspendre ou à fixer au plafond ou au mur (sauf pour l'éclairage des espaces et voies publiques)")</f>
        <v xml:space="preserve">   Lustres et autres appareils d'éclairage électrique à suspendre ou à fixer au plafond ou au mur (sauf pour l'éclairage des espaces et voies publiques)</v>
      </c>
      <c r="C6550">
        <v>1198375</v>
      </c>
      <c r="D6550">
        <v>987</v>
      </c>
    </row>
    <row r="6551" spans="1:4" x14ac:dyDescent="0.25">
      <c r="A6551" t="str">
        <f>T("   940520")</f>
        <v xml:space="preserve">   940520</v>
      </c>
      <c r="B6551" t="str">
        <f>T("   Lampes de chevet, lampes de bureau et lampadaires d'intérieur, électriques")</f>
        <v xml:space="preserve">   Lampes de chevet, lampes de bureau et lampadaires d'intérieur, électriques</v>
      </c>
      <c r="C6551">
        <v>685471</v>
      </c>
      <c r="D6551">
        <v>1151</v>
      </c>
    </row>
    <row r="6552" spans="1:4" x14ac:dyDescent="0.25">
      <c r="A6552" t="str">
        <f>T("   950390")</f>
        <v xml:space="preserve">   950390</v>
      </c>
      <c r="B6552" t="str">
        <f>T("   Jouets, n.d.a.")</f>
        <v xml:space="preserve">   Jouets, n.d.a.</v>
      </c>
      <c r="C6552">
        <v>15087</v>
      </c>
      <c r="D6552">
        <v>20</v>
      </c>
    </row>
    <row r="6553" spans="1:4" x14ac:dyDescent="0.25">
      <c r="A6553" t="str">
        <f>T("   961000")</f>
        <v xml:space="preserve">   961000</v>
      </c>
      <c r="B6553" t="str">
        <f>T("   Ardoises et tableaux pour l'écriture ou le dessin, même encadrés")</f>
        <v xml:space="preserve">   Ardoises et tableaux pour l'écriture ou le dessin, même encadrés</v>
      </c>
      <c r="C6553">
        <v>47935</v>
      </c>
      <c r="D6553">
        <v>400</v>
      </c>
    </row>
    <row r="6554" spans="1:4" x14ac:dyDescent="0.25">
      <c r="A6554" t="str">
        <f>T("HM")</f>
        <v>HM</v>
      </c>
      <c r="B6554" t="str">
        <f>T("Heard et McDonald, îles")</f>
        <v>Heard et McDonald, îles</v>
      </c>
    </row>
    <row r="6555" spans="1:4" x14ac:dyDescent="0.25">
      <c r="A6555" t="str">
        <f>T("   ZZ_Total_Produit_SH6")</f>
        <v xml:space="preserve">   ZZ_Total_Produit_SH6</v>
      </c>
      <c r="B6555" t="str">
        <f>T("   ZZ_Total_Produit_SH6")</f>
        <v xml:space="preserve">   ZZ_Total_Produit_SH6</v>
      </c>
      <c r="C6555">
        <v>6538395</v>
      </c>
      <c r="D6555">
        <v>103.8</v>
      </c>
    </row>
    <row r="6556" spans="1:4" x14ac:dyDescent="0.25">
      <c r="A6556" t="str">
        <f>T("   401039")</f>
        <v xml:space="preserve">   401039</v>
      </c>
      <c r="B6556" t="s">
        <v>157</v>
      </c>
      <c r="C6556">
        <v>48408</v>
      </c>
      <c r="D6556">
        <v>15</v>
      </c>
    </row>
    <row r="6557" spans="1:4" x14ac:dyDescent="0.25">
      <c r="A6557" t="str">
        <f>T("   610190")</f>
        <v xml:space="preserve">   610190</v>
      </c>
      <c r="B6557" t="s">
        <v>258</v>
      </c>
      <c r="C6557">
        <v>382313</v>
      </c>
      <c r="D6557">
        <v>5</v>
      </c>
    </row>
    <row r="6558" spans="1:4" x14ac:dyDescent="0.25">
      <c r="A6558" t="str">
        <f>T("   841391")</f>
        <v xml:space="preserve">   841391</v>
      </c>
      <c r="B6558" t="str">
        <f>T("   Parties de pompes pour liquides, n.d.a.")</f>
        <v xml:space="preserve">   Parties de pompes pour liquides, n.d.a.</v>
      </c>
      <c r="C6558">
        <v>235642</v>
      </c>
      <c r="D6558">
        <v>0.5</v>
      </c>
    </row>
    <row r="6559" spans="1:4" x14ac:dyDescent="0.25">
      <c r="A6559" t="str">
        <f>T("   847190")</f>
        <v xml:space="preserve">   847190</v>
      </c>
      <c r="B6559"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6559">
        <v>1487149</v>
      </c>
      <c r="D6559">
        <v>28.5</v>
      </c>
    </row>
    <row r="6560" spans="1:4" x14ac:dyDescent="0.25">
      <c r="A6560" t="str">
        <f>T("   847330")</f>
        <v xml:space="preserve">   847330</v>
      </c>
      <c r="B6560" t="str">
        <f>T("   Parties et accessoires pour machines automatiques de traitement de l'information ou pour autres machines du n° 8471, n.d.a.")</f>
        <v xml:space="preserve">   Parties et accessoires pour machines automatiques de traitement de l'information ou pour autres machines du n° 8471, n.d.a.</v>
      </c>
      <c r="C6560">
        <v>3897099</v>
      </c>
      <c r="D6560">
        <v>51</v>
      </c>
    </row>
    <row r="6561" spans="1:4" x14ac:dyDescent="0.25">
      <c r="A6561" t="str">
        <f>T("   851780")</f>
        <v xml:space="preserve">   851780</v>
      </c>
      <c r="B6561" t="s">
        <v>458</v>
      </c>
      <c r="C6561">
        <v>5000</v>
      </c>
      <c r="D6561">
        <v>0.5</v>
      </c>
    </row>
    <row r="6562" spans="1:4" x14ac:dyDescent="0.25">
      <c r="A6562" t="str">
        <f>T("   852990")</f>
        <v xml:space="preserve">   852990</v>
      </c>
      <c r="B6562" t="s">
        <v>471</v>
      </c>
      <c r="C6562">
        <v>220501</v>
      </c>
      <c r="D6562">
        <v>1</v>
      </c>
    </row>
    <row r="6563" spans="1:4" x14ac:dyDescent="0.25">
      <c r="A6563" t="str">
        <f>T("   853649")</f>
        <v xml:space="preserve">   853649</v>
      </c>
      <c r="B6563" t="str">
        <f>T("   Relais, pour une tension &gt; 60 V mais &lt;= 1.000 V")</f>
        <v xml:space="preserve">   Relais, pour une tension &gt; 60 V mais &lt;= 1.000 V</v>
      </c>
      <c r="C6563">
        <v>24142</v>
      </c>
      <c r="D6563">
        <v>2</v>
      </c>
    </row>
    <row r="6564" spans="1:4" x14ac:dyDescent="0.25">
      <c r="A6564" t="str">
        <f>T("   854260")</f>
        <v xml:space="preserve">   854260</v>
      </c>
      <c r="B6564" t="str">
        <f>T("   Circuits intégrés hybrides")</f>
        <v xml:space="preserve">   Circuits intégrés hybrides</v>
      </c>
      <c r="C6564">
        <v>238141</v>
      </c>
      <c r="D6564">
        <v>0.3</v>
      </c>
    </row>
    <row r="6565" spans="1:4" x14ac:dyDescent="0.25">
      <c r="A6565" t="str">
        <f>T("HR")</f>
        <v>HR</v>
      </c>
      <c r="B6565" t="str">
        <f>T("Croatie")</f>
        <v>Croatie</v>
      </c>
    </row>
    <row r="6566" spans="1:4" x14ac:dyDescent="0.25">
      <c r="A6566" t="str">
        <f>T("   ZZ_Total_Produit_SH6")</f>
        <v xml:space="preserve">   ZZ_Total_Produit_SH6</v>
      </c>
      <c r="B6566" t="str">
        <f>T("   ZZ_Total_Produit_SH6")</f>
        <v xml:space="preserve">   ZZ_Total_Produit_SH6</v>
      </c>
      <c r="C6566">
        <v>65917838</v>
      </c>
      <c r="D6566">
        <v>45262</v>
      </c>
    </row>
    <row r="6567" spans="1:4" x14ac:dyDescent="0.25">
      <c r="A6567" t="str">
        <f>T("   080810")</f>
        <v xml:space="preserve">   080810</v>
      </c>
      <c r="B6567" t="str">
        <f>T("   Pommes, fraîches")</f>
        <v xml:space="preserve">   Pommes, fraîches</v>
      </c>
      <c r="C6567">
        <v>14000810</v>
      </c>
      <c r="D6567">
        <v>44980</v>
      </c>
    </row>
    <row r="6568" spans="1:4" x14ac:dyDescent="0.25">
      <c r="A6568" t="str">
        <f>T("   847330")</f>
        <v xml:space="preserve">   847330</v>
      </c>
      <c r="B6568" t="str">
        <f>T("   Parties et accessoires pour machines automatiques de traitement de l'information ou pour autres machines du n° 8471, n.d.a.")</f>
        <v xml:space="preserve">   Parties et accessoires pour machines automatiques de traitement de l'information ou pour autres machines du n° 8471, n.d.a.</v>
      </c>
      <c r="C6568">
        <v>259952</v>
      </c>
      <c r="D6568">
        <v>2</v>
      </c>
    </row>
    <row r="6569" spans="1:4" x14ac:dyDescent="0.25">
      <c r="A6569" t="str">
        <f>T("   847340")</f>
        <v xml:space="preserve">   847340</v>
      </c>
      <c r="B6569" t="str">
        <f>T("   Parties et accessoires pour autres machines et appareils de bureau du n° 8472, n.d.a.")</f>
        <v xml:space="preserve">   Parties et accessoires pour autres machines et appareils de bureau du n° 8472, n.d.a.</v>
      </c>
      <c r="C6569">
        <v>952814</v>
      </c>
      <c r="D6569">
        <v>30</v>
      </c>
    </row>
    <row r="6570" spans="1:4" x14ac:dyDescent="0.25">
      <c r="A6570" t="str">
        <f>T("   851780")</f>
        <v xml:space="preserve">   851780</v>
      </c>
      <c r="B6570" t="s">
        <v>458</v>
      </c>
      <c r="C6570">
        <v>50704262</v>
      </c>
      <c r="D6570">
        <v>250</v>
      </c>
    </row>
    <row r="6571" spans="1:4" x14ac:dyDescent="0.25">
      <c r="A6571" t="str">
        <f>T("HU")</f>
        <v>HU</v>
      </c>
      <c r="B6571" t="str">
        <f>T("Hongrie")</f>
        <v>Hongrie</v>
      </c>
    </row>
    <row r="6572" spans="1:4" x14ac:dyDescent="0.25">
      <c r="A6572" t="str">
        <f>T("   ZZ_Total_Produit_SH6")</f>
        <v xml:space="preserve">   ZZ_Total_Produit_SH6</v>
      </c>
      <c r="B6572" t="str">
        <f>T("   ZZ_Total_Produit_SH6")</f>
        <v xml:space="preserve">   ZZ_Total_Produit_SH6</v>
      </c>
      <c r="C6572">
        <v>280075385</v>
      </c>
      <c r="D6572">
        <v>606255</v>
      </c>
    </row>
    <row r="6573" spans="1:4" x14ac:dyDescent="0.25">
      <c r="A6573" t="str">
        <f>T("   300660")</f>
        <v xml:space="preserve">   300660</v>
      </c>
      <c r="B6573" t="str">
        <f>T("   Préparations chimiques contraceptives à base d'hormones, de prostaglandines, de thromboxanes, de leucotriènes, de leurs dérivés et analogues structurels ou de spermicides")</f>
        <v xml:space="preserve">   Préparations chimiques contraceptives à base d'hormones, de prostaglandines, de thromboxanes, de leucotriènes, de leurs dérivés et analogues structurels ou de spermicides</v>
      </c>
      <c r="C6573">
        <v>666696</v>
      </c>
      <c r="D6573">
        <v>22</v>
      </c>
    </row>
    <row r="6574" spans="1:4" x14ac:dyDescent="0.25">
      <c r="A6574" t="str">
        <f>T("   630900")</f>
        <v xml:space="preserve">   630900</v>
      </c>
      <c r="B6574" t="s">
        <v>278</v>
      </c>
      <c r="C6574">
        <v>279408689</v>
      </c>
      <c r="D6574">
        <v>606233</v>
      </c>
    </row>
    <row r="6575" spans="1:4" x14ac:dyDescent="0.25">
      <c r="A6575" t="str">
        <f>T("ID")</f>
        <v>ID</v>
      </c>
      <c r="B6575" t="str">
        <f>T("Indonésie")</f>
        <v>Indonésie</v>
      </c>
    </row>
    <row r="6576" spans="1:4" x14ac:dyDescent="0.25">
      <c r="A6576" t="str">
        <f>T("   ZZ_Total_Produit_SH6")</f>
        <v xml:space="preserve">   ZZ_Total_Produit_SH6</v>
      </c>
      <c r="B6576" t="str">
        <f>T("   ZZ_Total_Produit_SH6")</f>
        <v xml:space="preserve">   ZZ_Total_Produit_SH6</v>
      </c>
      <c r="C6576">
        <v>3004023256.8379998</v>
      </c>
      <c r="D6576">
        <v>9352077.9700000007</v>
      </c>
    </row>
    <row r="6577" spans="1:4" x14ac:dyDescent="0.25">
      <c r="A6577" t="str">
        <f>T("   150890")</f>
        <v xml:space="preserve">   150890</v>
      </c>
      <c r="B6577" t="str">
        <f>T("   Huile d'arachide et ses fractions, même raffinées, mais non chimiquement modifiées (à l'excl. de l'huile d'arachide brute)")</f>
        <v xml:space="preserve">   Huile d'arachide et ses fractions, même raffinées, mais non chimiquement modifiées (à l'excl. de l'huile d'arachide brute)</v>
      </c>
      <c r="C6577">
        <v>63795287.419</v>
      </c>
      <c r="D6577">
        <v>194736</v>
      </c>
    </row>
    <row r="6578" spans="1:4" x14ac:dyDescent="0.25">
      <c r="A6578" t="str">
        <f>T("   151110")</f>
        <v xml:space="preserve">   151110</v>
      </c>
      <c r="B6578" t="str">
        <f>T("   Huile de palme, brute")</f>
        <v xml:space="preserve">   Huile de palme, brute</v>
      </c>
      <c r="C6578">
        <v>52800189</v>
      </c>
      <c r="D6578">
        <v>253342</v>
      </c>
    </row>
    <row r="6579" spans="1:4" x14ac:dyDescent="0.25">
      <c r="A6579" t="str">
        <f>T("   151190")</f>
        <v xml:space="preserve">   151190</v>
      </c>
      <c r="B6579" t="str">
        <f>T("   Huile de palme et ses fractions, même raffinées, mais non chimiquement modifiées (à l'excl. de l'huile de palme brute)")</f>
        <v xml:space="preserve">   Huile de palme et ses fractions, même raffinées, mais non chimiquement modifiées (à l'excl. de l'huile de palme brute)</v>
      </c>
      <c r="C6579">
        <v>1629932806.4200001</v>
      </c>
      <c r="D6579">
        <v>5393019</v>
      </c>
    </row>
    <row r="6580" spans="1:4" x14ac:dyDescent="0.25">
      <c r="A6580" t="str">
        <f>T("   151590")</f>
        <v xml:space="preserve">   151590</v>
      </c>
      <c r="B6580" t="s">
        <v>35</v>
      </c>
      <c r="C6580">
        <v>26400000</v>
      </c>
      <c r="D6580">
        <v>141408</v>
      </c>
    </row>
    <row r="6581" spans="1:4" x14ac:dyDescent="0.25">
      <c r="A6581" t="str">
        <f>T("   151620")</f>
        <v xml:space="preserve">   151620</v>
      </c>
      <c r="B6581"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6581">
        <v>123200423</v>
      </c>
      <c r="D6581">
        <v>584061</v>
      </c>
    </row>
    <row r="6582" spans="1:4" x14ac:dyDescent="0.25">
      <c r="A6582" t="str">
        <f>T("   151710")</f>
        <v xml:space="preserve">   151710</v>
      </c>
      <c r="B6582" t="str">
        <f>T("   Margarine (à l'excl. de la margarine liquide)")</f>
        <v xml:space="preserve">   Margarine (à l'excl. de la margarine liquide)</v>
      </c>
      <c r="C6582">
        <v>35276525</v>
      </c>
      <c r="D6582">
        <v>156000</v>
      </c>
    </row>
    <row r="6583" spans="1:4" x14ac:dyDescent="0.25">
      <c r="A6583" t="str">
        <f>T("   180620")</f>
        <v xml:space="preserve">   180620</v>
      </c>
      <c r="B6583" t="s">
        <v>46</v>
      </c>
      <c r="C6583">
        <v>145291</v>
      </c>
      <c r="D6583">
        <v>84</v>
      </c>
    </row>
    <row r="6584" spans="1:4" x14ac:dyDescent="0.25">
      <c r="A6584" t="str">
        <f>T("   190531")</f>
        <v xml:space="preserve">   190531</v>
      </c>
      <c r="B6584" t="str">
        <f>T("   Biscuits additionnés d'édulcorants")</f>
        <v xml:space="preserve">   Biscuits additionnés d'édulcorants</v>
      </c>
      <c r="C6584">
        <v>481066</v>
      </c>
      <c r="D6584">
        <v>331</v>
      </c>
    </row>
    <row r="6585" spans="1:4" x14ac:dyDescent="0.25">
      <c r="A6585" t="str">
        <f>T("   200290")</f>
        <v xml:space="preserve">   200290</v>
      </c>
      <c r="B6585"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6585">
        <v>471378</v>
      </c>
      <c r="D6585">
        <v>1316</v>
      </c>
    </row>
    <row r="6586" spans="1:4" x14ac:dyDescent="0.25">
      <c r="A6586" t="str">
        <f>T("   200919")</f>
        <v xml:space="preserve">   200919</v>
      </c>
      <c r="B6586" t="str">
        <f>T("   JUS D'ORANGE, NON-FERMENTÉS, SANS ADDITION D'ALCOOL, AVEC OU SANS ADDITION DE SUCRE OU D'AUTRES ÉDULCORANTS (À L'EXCL. DES JUS CONGELÉS ET DES JUS D'UNE VALEUR BRIX &lt;= 20 À 20°C)")</f>
        <v xml:space="preserve">   JUS D'ORANGE, NON-FERMENTÉS, SANS ADDITION D'ALCOOL, AVEC OU SANS ADDITION DE SUCRE OU D'AUTRES ÉDULCORANTS (À L'EXCL. DES JUS CONGELÉS ET DES JUS D'UNE VALEUR BRIX &lt;= 20 À 20°C)</v>
      </c>
      <c r="C6586">
        <v>1233847</v>
      </c>
      <c r="D6586">
        <v>3184</v>
      </c>
    </row>
    <row r="6587" spans="1:4" x14ac:dyDescent="0.25">
      <c r="A6587" t="str">
        <f>T("   210690")</f>
        <v xml:space="preserve">   210690</v>
      </c>
      <c r="B6587" t="str">
        <f>T("   Préparations alimentaires, n.d.a.")</f>
        <v xml:space="preserve">   Préparations alimentaires, n.d.a.</v>
      </c>
      <c r="C6587">
        <v>42615170</v>
      </c>
      <c r="D6587">
        <v>34709</v>
      </c>
    </row>
    <row r="6588" spans="1:4" x14ac:dyDescent="0.25">
      <c r="A6588" t="str">
        <f>T("   220290")</f>
        <v xml:space="preserve">   220290</v>
      </c>
      <c r="B6588" t="str">
        <f>T("   BOISSONS NON-ALCOOLIQUES (À L'EXCL. DES EAUX, DES JUS DE FRUITS OU DE LÉGUMES AINSI QUE DU LAIT)")</f>
        <v xml:space="preserve">   BOISSONS NON-ALCOOLIQUES (À L'EXCL. DES EAUX, DES JUS DE FRUITS OU DE LÉGUMES AINSI QUE DU LAIT)</v>
      </c>
      <c r="C6588">
        <v>6906642</v>
      </c>
      <c r="D6588">
        <v>19693</v>
      </c>
    </row>
    <row r="6589" spans="1:4" x14ac:dyDescent="0.25">
      <c r="A6589" t="str">
        <f>T("   220421")</f>
        <v xml:space="preserve">   220421</v>
      </c>
      <c r="B6589" t="str">
        <f>T("   Vins de raisins frais, y.c. les vins enrichis en alcool (à l'excl. des vins mousseux); moûts de raisins dont la fermentation a été empêchée ou arrêtée par addition d'alcool, en récipients d'une contenance &lt;= 2 l")</f>
        <v xml:space="preserve">   Vins de raisins frais, y.c. les vins enrichis en alcool (à l'excl. des vins mousseux); moûts de raisins dont la fermentation a été empêchée ou arrêtée par addition d'alcool, en récipients d'une contenance &lt;= 2 l</v>
      </c>
      <c r="C6589">
        <v>94599</v>
      </c>
      <c r="D6589">
        <v>200</v>
      </c>
    </row>
    <row r="6590" spans="1:4" x14ac:dyDescent="0.25">
      <c r="A6590" t="str">
        <f>T("   220830")</f>
        <v xml:space="preserve">   220830</v>
      </c>
      <c r="B6590" t="str">
        <f>T("   Whiskies")</f>
        <v xml:space="preserve">   Whiskies</v>
      </c>
      <c r="C6590">
        <v>5594837</v>
      </c>
      <c r="D6590">
        <v>16615</v>
      </c>
    </row>
    <row r="6591" spans="1:4" x14ac:dyDescent="0.25">
      <c r="A6591" t="str">
        <f>T("   320890")</f>
        <v xml:space="preserve">   320890</v>
      </c>
      <c r="B6591" t="s">
        <v>97</v>
      </c>
      <c r="C6591">
        <v>229800</v>
      </c>
      <c r="D6591">
        <v>400</v>
      </c>
    </row>
    <row r="6592" spans="1:4" x14ac:dyDescent="0.25">
      <c r="A6592" t="str">
        <f>T("   321000")</f>
        <v xml:space="preserve">   321000</v>
      </c>
      <c r="B6592" t="str">
        <f>T("   Peintures et vernis (à l'excl. des produits à base de polymères synthétiques ou de polymères naturels modifiés); pigments à l'eau préparés des types utilisés pour le finissage des cuirs")</f>
        <v xml:space="preserve">   Peintures et vernis (à l'excl. des produits à base de polymères synthétiques ou de polymères naturels modifiés); pigments à l'eau préparés des types utilisés pour le finissage des cuirs</v>
      </c>
      <c r="C6592">
        <v>200068</v>
      </c>
      <c r="D6592">
        <v>950</v>
      </c>
    </row>
    <row r="6593" spans="1:4" x14ac:dyDescent="0.25">
      <c r="A6593" t="str">
        <f>T("   330129")</f>
        <v xml:space="preserve">   330129</v>
      </c>
      <c r="B6593" t="str">
        <f>T("   HUILES ESSENTIELLES, DÉTERPÉNÉES OU NON, Y.C. CELLES DITES 'CONCRÈTES' OU 'ABSOLUES' (À L'EXCL. DES HUILES ESSENTIELLES D'AGRUMES OU DE MENTHES)")</f>
        <v xml:space="preserve">   HUILES ESSENTIELLES, DÉTERPÉNÉES OU NON, Y.C. CELLES DITES 'CONCRÈTES' OU 'ABSOLUES' (À L'EXCL. DES HUILES ESSENTIELLES D'AGRUMES OU DE MENTHES)</v>
      </c>
      <c r="C6593">
        <v>2345378</v>
      </c>
      <c r="D6593">
        <v>1490</v>
      </c>
    </row>
    <row r="6594" spans="1:4" x14ac:dyDescent="0.25">
      <c r="A6594" t="str">
        <f>T("   330300")</f>
        <v xml:space="preserve">   330300</v>
      </c>
      <c r="B6594" t="str">
        <f>T("   Parfums et eaux de toilette (à l'excl. des préparations pour l'après-rasage [lotions after-shave] et des désodorisants corporels)")</f>
        <v xml:space="preserve">   Parfums et eaux de toilette (à l'excl. des préparations pour l'après-rasage [lotions after-shave] et des désodorisants corporels)</v>
      </c>
      <c r="C6594">
        <v>401019</v>
      </c>
      <c r="D6594">
        <v>585</v>
      </c>
    </row>
    <row r="6595" spans="1:4" x14ac:dyDescent="0.25">
      <c r="A6595" t="str">
        <f>T("   330499")</f>
        <v xml:space="preserve">   330499</v>
      </c>
      <c r="B6595" t="s">
        <v>101</v>
      </c>
      <c r="C6595">
        <v>2655978</v>
      </c>
      <c r="D6595">
        <v>6202</v>
      </c>
    </row>
    <row r="6596" spans="1:4" x14ac:dyDescent="0.25">
      <c r="A6596" t="str">
        <f>T("   330510")</f>
        <v xml:space="preserve">   330510</v>
      </c>
      <c r="B6596" t="str">
        <f>T("   Shampooings")</f>
        <v xml:space="preserve">   Shampooings</v>
      </c>
      <c r="C6596">
        <v>8950984</v>
      </c>
      <c r="D6596">
        <v>16657</v>
      </c>
    </row>
    <row r="6597" spans="1:4" x14ac:dyDescent="0.25">
      <c r="A6597" t="str">
        <f>T("   330749")</f>
        <v xml:space="preserve">   330749</v>
      </c>
      <c r="B6597" t="str">
        <f>T("   Préparations pour parfumer ou pour désodoriser les locaux, y.c. les préparations odoriférantes pour cérémonies religieuses (à l'excl. de l'agarbatti et des autres préparations odoriférantes agissant par combustion)")</f>
        <v xml:space="preserve">   Préparations pour parfumer ou pour désodoriser les locaux, y.c. les préparations odoriférantes pour cérémonies religieuses (à l'excl. de l'agarbatti et des autres préparations odoriférantes agissant par combustion)</v>
      </c>
      <c r="C6597">
        <v>24472043</v>
      </c>
      <c r="D6597">
        <v>32065</v>
      </c>
    </row>
    <row r="6598" spans="1:4" x14ac:dyDescent="0.25">
      <c r="A6598" t="str">
        <f>T("   340111")</f>
        <v xml:space="preserve">   340111</v>
      </c>
      <c r="B6598" t="s">
        <v>102</v>
      </c>
      <c r="C6598">
        <v>112721383</v>
      </c>
      <c r="D6598">
        <v>353134</v>
      </c>
    </row>
    <row r="6599" spans="1:4" x14ac:dyDescent="0.25">
      <c r="A6599" t="str">
        <f>T("   340119")</f>
        <v xml:space="preserve">   340119</v>
      </c>
      <c r="B6599" t="s">
        <v>103</v>
      </c>
      <c r="C6599">
        <v>55128990</v>
      </c>
      <c r="D6599">
        <v>462879</v>
      </c>
    </row>
    <row r="6600" spans="1:4" x14ac:dyDescent="0.25">
      <c r="A6600" t="str">
        <f>T("   340219")</f>
        <v xml:space="preserve">   340219</v>
      </c>
      <c r="B6600" t="str">
        <f>T("   Agents de surface organiques, même conditionnés pour la vente au détail (à l'excl. des savons et des agents de surface anioniques, cationiques ou non ioniques)")</f>
        <v xml:space="preserve">   Agents de surface organiques, même conditionnés pour la vente au détail (à l'excl. des savons et des agents de surface anioniques, cationiques ou non ioniques)</v>
      </c>
      <c r="C6600">
        <v>12681442</v>
      </c>
      <c r="D6600">
        <v>23060</v>
      </c>
    </row>
    <row r="6601" spans="1:4" x14ac:dyDescent="0.25">
      <c r="A6601" t="str">
        <f>T("   340220")</f>
        <v xml:space="preserve">   340220</v>
      </c>
      <c r="B6601" t="s">
        <v>104</v>
      </c>
      <c r="C6601">
        <v>33118818</v>
      </c>
      <c r="D6601">
        <v>98161</v>
      </c>
    </row>
    <row r="6602" spans="1:4" x14ac:dyDescent="0.25">
      <c r="A6602" t="str">
        <f>T("   340530")</f>
        <v xml:space="preserve">   340530</v>
      </c>
      <c r="B6602" t="s">
        <v>111</v>
      </c>
      <c r="C6602">
        <v>6847764</v>
      </c>
      <c r="D6602">
        <v>5144</v>
      </c>
    </row>
    <row r="6603" spans="1:4" x14ac:dyDescent="0.25">
      <c r="A6603" t="str">
        <f>T("   350610")</f>
        <v xml:space="preserve">   350610</v>
      </c>
      <c r="B6603" t="str">
        <f>T("   Produits de toute espèce à usage de colles ou d'adhésifs, conditionnés pour la vente au détail comme colles ou adhésifs, d'un poids net &lt;= 1 kg")</f>
        <v xml:space="preserve">   Produits de toute espèce à usage de colles ou d'adhésifs, conditionnés pour la vente au détail comme colles ou adhésifs, d'un poids net &lt;= 1 kg</v>
      </c>
      <c r="C6603">
        <v>172350</v>
      </c>
      <c r="D6603">
        <v>375</v>
      </c>
    </row>
    <row r="6604" spans="1:4" x14ac:dyDescent="0.25">
      <c r="A6604" t="str">
        <f>T("   380890")</f>
        <v xml:space="preserve">   380890</v>
      </c>
      <c r="B6604" t="str">
        <f>T("   Antirongeurs et autres produits phytosanitaires, présentés dans des formes ou emballages de vente au détail ou à l'état de préparations ou sous forme d'articles (à l'excl. des insecticides, des fongicides, des herbicides et des désinfectants)")</f>
        <v xml:space="preserve">   Antirongeurs et autres produits phytosanitaires, présentés dans des formes ou emballages de vente au détail ou à l'état de préparations ou sous forme d'articles (à l'excl. des insecticides, des fongicides, des herbicides et des désinfectants)</v>
      </c>
      <c r="C6604">
        <v>4732767</v>
      </c>
      <c r="D6604">
        <v>6755</v>
      </c>
    </row>
    <row r="6605" spans="1:4" x14ac:dyDescent="0.25">
      <c r="A6605" t="str">
        <f>T("   380991")</f>
        <v xml:space="preserve">   380991</v>
      </c>
      <c r="B6605" t="s">
        <v>121</v>
      </c>
      <c r="C6605">
        <v>400737</v>
      </c>
      <c r="D6605">
        <v>585</v>
      </c>
    </row>
    <row r="6606" spans="1:4" x14ac:dyDescent="0.25">
      <c r="A6606" t="str">
        <f>T("   391990")</f>
        <v xml:space="preserve">   391990</v>
      </c>
      <c r="B6606" t="s">
        <v>133</v>
      </c>
      <c r="C6606">
        <v>4314</v>
      </c>
      <c r="D6606">
        <v>5</v>
      </c>
    </row>
    <row r="6607" spans="1:4" x14ac:dyDescent="0.25">
      <c r="A6607" t="str">
        <f>T("   392329")</f>
        <v xml:space="preserve">   392329</v>
      </c>
      <c r="B6607" t="str">
        <f>T("   Sacs, sachets, pochettes et cornets, en matières plastiques (autres que les polymères de l'éthylène)")</f>
        <v xml:space="preserve">   Sacs, sachets, pochettes et cornets, en matières plastiques (autres que les polymères de l'éthylène)</v>
      </c>
      <c r="C6607">
        <v>37174</v>
      </c>
      <c r="D6607">
        <v>12</v>
      </c>
    </row>
    <row r="6608" spans="1:4" x14ac:dyDescent="0.25">
      <c r="A6608" t="str">
        <f>T("   392610")</f>
        <v xml:space="preserve">   392610</v>
      </c>
      <c r="B6608" t="str">
        <f>T("   Articles de bureau et articles scolaires, en matières plastiques, n.d.a.")</f>
        <v xml:space="preserve">   Articles de bureau et articles scolaires, en matières plastiques, n.d.a.</v>
      </c>
      <c r="C6608">
        <v>13088446</v>
      </c>
      <c r="D6608">
        <v>15640</v>
      </c>
    </row>
    <row r="6609" spans="1:4" x14ac:dyDescent="0.25">
      <c r="A6609" t="str">
        <f>T("   392690")</f>
        <v xml:space="preserve">   392690</v>
      </c>
      <c r="B6609" t="str">
        <f>T("   Ouvrages en matières plastiques et ouvrages en autres matières du n° 3901 à 3914, n.d.a.")</f>
        <v xml:space="preserve">   Ouvrages en matières plastiques et ouvrages en autres matières du n° 3901 à 3914, n.d.a.</v>
      </c>
      <c r="C6609">
        <v>130118</v>
      </c>
      <c r="D6609">
        <v>70</v>
      </c>
    </row>
    <row r="6610" spans="1:4" x14ac:dyDescent="0.25">
      <c r="A6610" t="str">
        <f>T("   400821")</f>
        <v xml:space="preserve">   400821</v>
      </c>
      <c r="B6610" t="str">
        <f>T("   PLAQUES, FEUILLES ET BANDES, EN CAOUTCHOUC NON-ALVÉOLAIRE NON-DURCI")</f>
        <v xml:space="preserve">   PLAQUES, FEUILLES ET BANDES, EN CAOUTCHOUC NON-ALVÉOLAIRE NON-DURCI</v>
      </c>
      <c r="C6610">
        <v>548328</v>
      </c>
      <c r="D6610">
        <v>618</v>
      </c>
    </row>
    <row r="6611" spans="1:4" x14ac:dyDescent="0.25">
      <c r="A6611" t="str">
        <f>T("   420229")</f>
        <v xml:space="preserve">   420229</v>
      </c>
      <c r="B6611"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6611">
        <v>170098</v>
      </c>
      <c r="D6611">
        <v>72</v>
      </c>
    </row>
    <row r="6612" spans="1:4" x14ac:dyDescent="0.25">
      <c r="A6612" t="str">
        <f>T("   441820")</f>
        <v xml:space="preserve">   441820</v>
      </c>
      <c r="B6612" t="str">
        <f>T("   Portes et leurs cadres, chambranles et seuils, en bois")</f>
        <v xml:space="preserve">   Portes et leurs cadres, chambranles et seuils, en bois</v>
      </c>
      <c r="C6612">
        <v>1934048</v>
      </c>
      <c r="D6612">
        <v>2980</v>
      </c>
    </row>
    <row r="6613" spans="1:4" x14ac:dyDescent="0.25">
      <c r="A6613" t="str">
        <f>T("   441900")</f>
        <v xml:space="preserve">   441900</v>
      </c>
      <c r="B6613" t="s">
        <v>189</v>
      </c>
      <c r="C6613">
        <v>120041</v>
      </c>
      <c r="D6613">
        <v>63</v>
      </c>
    </row>
    <row r="6614" spans="1:4" x14ac:dyDescent="0.25">
      <c r="A6614" t="str">
        <f>T("   480256")</f>
        <v xml:space="preserve">   480256</v>
      </c>
      <c r="B6614" t="s">
        <v>194</v>
      </c>
      <c r="C6614">
        <v>142674822</v>
      </c>
      <c r="D6614">
        <v>313106.5</v>
      </c>
    </row>
    <row r="6615" spans="1:4" x14ac:dyDescent="0.25">
      <c r="A6615" t="str">
        <f>T("   480257")</f>
        <v xml:space="preserve">   480257</v>
      </c>
      <c r="B6615" t="s">
        <v>195</v>
      </c>
      <c r="C6615">
        <v>78022125</v>
      </c>
      <c r="D6615">
        <v>206983</v>
      </c>
    </row>
    <row r="6616" spans="1:4" x14ac:dyDescent="0.25">
      <c r="A6616" t="str">
        <f>T("   480258")</f>
        <v xml:space="preserve">   480258</v>
      </c>
      <c r="B6616" t="s">
        <v>196</v>
      </c>
      <c r="C6616">
        <v>8008499</v>
      </c>
      <c r="D6616">
        <v>20046</v>
      </c>
    </row>
    <row r="6617" spans="1:4" x14ac:dyDescent="0.25">
      <c r="A6617" t="str">
        <f>T("   480890")</f>
        <v xml:space="preserve">   480890</v>
      </c>
      <c r="B6617" t="s">
        <v>205</v>
      </c>
      <c r="C6617">
        <v>7975799</v>
      </c>
      <c r="D6617">
        <v>14064</v>
      </c>
    </row>
    <row r="6618" spans="1:4" x14ac:dyDescent="0.25">
      <c r="A6618" t="str">
        <f>T("   481019")</f>
        <v xml:space="preserve">   481019</v>
      </c>
      <c r="B6618" t="s">
        <v>208</v>
      </c>
      <c r="C6618">
        <v>1367994</v>
      </c>
      <c r="D6618">
        <v>3290</v>
      </c>
    </row>
    <row r="6619" spans="1:4" x14ac:dyDescent="0.25">
      <c r="A6619" t="str">
        <f>T("   481710")</f>
        <v xml:space="preserve">   481710</v>
      </c>
      <c r="B6619" t="str">
        <f>T("   Enveloppes, en papier ou en carton")</f>
        <v xml:space="preserve">   Enveloppes, en papier ou en carton</v>
      </c>
      <c r="C6619">
        <v>1340359</v>
      </c>
      <c r="D6619">
        <v>4461</v>
      </c>
    </row>
    <row r="6620" spans="1:4" x14ac:dyDescent="0.25">
      <c r="A6620" t="str">
        <f>T("   481940")</f>
        <v xml:space="preserve">   481940</v>
      </c>
      <c r="B6620" t="str">
        <f>T("   Sacs, sachets, pochettes et cornets, en papier, carton, ouate de cellulose ou nappes de fibres de cellulose (à l'excl. des pochettes pour disques et des sacs d'une largeur à la base &gt;= 40 cm)")</f>
        <v xml:space="preserve">   Sacs, sachets, pochettes et cornets, en papier, carton, ouate de cellulose ou nappes de fibres de cellulose (à l'excl. des pochettes pour disques et des sacs d'une largeur à la base &gt;= 40 cm)</v>
      </c>
      <c r="C6620">
        <v>1445325</v>
      </c>
      <c r="D6620">
        <v>890</v>
      </c>
    </row>
    <row r="6621" spans="1:4" x14ac:dyDescent="0.25">
      <c r="A6621" t="str">
        <f>T("   482010")</f>
        <v xml:space="preserve">   482010</v>
      </c>
      <c r="B6621" t="str">
        <f>T("   Registres, livres comptables, carnets de notes, de commandes ou de quittances, blocs-mémorandums, blocs de papier à lettres, agendas et ouvrages simil., en papier ou carton")</f>
        <v xml:space="preserve">   Registres, livres comptables, carnets de notes, de commandes ou de quittances, blocs-mémorandums, blocs de papier à lettres, agendas et ouvrages simil., en papier ou carton</v>
      </c>
      <c r="C6621">
        <v>20274100</v>
      </c>
      <c r="D6621">
        <v>18909</v>
      </c>
    </row>
    <row r="6622" spans="1:4" x14ac:dyDescent="0.25">
      <c r="A6622" t="str">
        <f>T("   482020")</f>
        <v xml:space="preserve">   482020</v>
      </c>
      <c r="B6622" t="str">
        <f>T("   Cahiers pour l'écriture, en papier ou carton")</f>
        <v xml:space="preserve">   Cahiers pour l'écriture, en papier ou carton</v>
      </c>
      <c r="C6622">
        <v>272269691</v>
      </c>
      <c r="D6622">
        <v>609178</v>
      </c>
    </row>
    <row r="6623" spans="1:4" x14ac:dyDescent="0.25">
      <c r="A6623" t="str">
        <f>T("   482040")</f>
        <v xml:space="preserve">   482040</v>
      </c>
      <c r="B6623" t="str">
        <f>T("   Liasses et carnets manifold, même comportant des feuilles de papier carbone, en papier ou carton")</f>
        <v xml:space="preserve">   Liasses et carnets manifold, même comportant des feuilles de papier carbone, en papier ou carton</v>
      </c>
      <c r="C6623">
        <v>3405140</v>
      </c>
      <c r="D6623">
        <v>504</v>
      </c>
    </row>
    <row r="6624" spans="1:4" x14ac:dyDescent="0.25">
      <c r="A6624" t="str">
        <f>T("   482090")</f>
        <v xml:space="preserve">   482090</v>
      </c>
      <c r="B6624" t="s">
        <v>219</v>
      </c>
      <c r="C6624">
        <v>5388180</v>
      </c>
      <c r="D6624">
        <v>2402</v>
      </c>
    </row>
    <row r="6625" spans="1:4" x14ac:dyDescent="0.25">
      <c r="A6625" t="str">
        <f>T("   520852")</f>
        <v xml:space="preserve">   520852</v>
      </c>
      <c r="B6625" t="str">
        <f>T("   Tissus de coton, imprimés, à armure toile, contenant &gt;= 85% en poids de coton, d'un poids &gt; 100 g/m² mais &lt;= 200 g/m²")</f>
        <v xml:space="preserve">   Tissus de coton, imprimés, à armure toile, contenant &gt;= 85% en poids de coton, d'un poids &gt; 100 g/m² mais &lt;= 200 g/m²</v>
      </c>
      <c r="C6625">
        <v>17059884</v>
      </c>
      <c r="D6625">
        <v>13650</v>
      </c>
    </row>
    <row r="6626" spans="1:4" x14ac:dyDescent="0.25">
      <c r="A6626" t="str">
        <f>T("   551331")</f>
        <v xml:space="preserve">   551331</v>
      </c>
      <c r="B6626" t="str">
        <f>T("   Tissus en fils de diverses couleurs, en fibres discontinues de polyester, contenant en prédominance, mais &lt; 85% en poids de ces fibres, mélangés principalement ou uniquement avec du coton, à armure toile, d'un poids &lt;= 170 g/m²")</f>
        <v xml:space="preserve">   Tissus en fils de diverses couleurs, en fibres discontinues de polyester, contenant en prédominance, mais &lt; 85% en poids de ces fibres, mélangés principalement ou uniquement avec du coton, à armure toile, d'un poids &lt;= 170 g/m²</v>
      </c>
      <c r="C6626">
        <v>13401557</v>
      </c>
      <c r="D6626">
        <v>8924</v>
      </c>
    </row>
    <row r="6627" spans="1:4" x14ac:dyDescent="0.25">
      <c r="A6627" t="str">
        <f>T("   560490")</f>
        <v xml:space="preserve">   560490</v>
      </c>
      <c r="B6627" t="str">
        <f>T("   FILS TEXTILES, LAMES ET FORMES SIMIL. DU N° 5404 OU 5405, IMPRÉGNÉS, ENDUITS, RECOUVERTS OU GAINÉS DE CAOUTCHOUC OU DE MATIÈRE PLASTIQUE (À L'EXCL. DES IMITATIONS DE CATGUT MUNIES D'HAMEÇONS OU AUTREMENT MONTÉES EN LIGNES)")</f>
        <v xml:space="preserve">   FILS TEXTILES, LAMES ET FORMES SIMIL. DU N° 5404 OU 5405, IMPRÉGNÉS, ENDUITS, RECOUVERTS OU GAINÉS DE CAOUTCHOUC OU DE MATIÈRE PLASTIQUE (À L'EXCL. DES IMITATIONS DE CATGUT MUNIES D'HAMEÇONS OU AUTREMENT MONTÉES EN LIGNES)</v>
      </c>
      <c r="C6627">
        <v>159398</v>
      </c>
      <c r="D6627">
        <v>570</v>
      </c>
    </row>
    <row r="6628" spans="1:4" x14ac:dyDescent="0.25">
      <c r="A6628" t="str">
        <f>T("   610319")</f>
        <v xml:space="preserve">   610319</v>
      </c>
      <c r="B6628" t="str">
        <f>T("   Costumes ou complets en bonneterie, de matières textiles, pour hommes ou garçonnets (sauf de laine, poils fins ou fibres synthétiques et sauf survêtements de sport 'trainings', combinaisons et ensembles de ski, maillots, culottes et slips de bain)")</f>
        <v xml:space="preserve">   Costumes ou complets en bonneterie, de matières textiles, pour hommes ou garçonnets (sauf de laine, poils fins ou fibres synthétiques et sauf survêtements de sport 'trainings', combinaisons et ensembles de ski, maillots, culottes et slips de bain)</v>
      </c>
      <c r="C6628">
        <v>6232</v>
      </c>
      <c r="D6628">
        <v>3</v>
      </c>
    </row>
    <row r="6629" spans="1:4" x14ac:dyDescent="0.25">
      <c r="A6629" t="str">
        <f>T("   610429")</f>
        <v xml:space="preserve">   610429</v>
      </c>
      <c r="B6629" t="str">
        <f>T("   ENSEMBLES EN BONNETERIE, DE MATIÈRES TEXTILES, POUR FEMMES ET FILLETTES (SAUF DE COTON, FIBRES SYNTHÉTIQUES ET À L'EXCL. D'ENSEMBLES DE SKI ET MAILLOTS, DES CULOTTES ET SLIPS DE BAIN)")</f>
        <v xml:space="preserve">   ENSEMBLES EN BONNETERIE, DE MATIÈRES TEXTILES, POUR FEMMES ET FILLETTES (SAUF DE COTON, FIBRES SYNTHÉTIQUES ET À L'EXCL. D'ENSEMBLES DE SKI ET MAILLOTS, DES CULOTTES ET SLIPS DE BAIN)</v>
      </c>
      <c r="C6629">
        <v>2296875</v>
      </c>
      <c r="D6629">
        <v>849</v>
      </c>
    </row>
    <row r="6630" spans="1:4" x14ac:dyDescent="0.25">
      <c r="A6630" t="str">
        <f>T("   610910")</f>
        <v xml:space="preserve">   610910</v>
      </c>
      <c r="B6630" t="str">
        <f>T("   T-shirts et maillots de corps, en bonneterie, de coton,")</f>
        <v xml:space="preserve">   T-shirts et maillots de corps, en bonneterie, de coton,</v>
      </c>
      <c r="C6630">
        <v>239425</v>
      </c>
      <c r="D6630">
        <v>125</v>
      </c>
    </row>
    <row r="6631" spans="1:4" x14ac:dyDescent="0.25">
      <c r="A6631" t="str">
        <f>T("   610990")</f>
        <v xml:space="preserve">   610990</v>
      </c>
      <c r="B6631" t="str">
        <f>T("   T-shirts et maillots de corps, en bonneterie, de matières textiles (sauf de coton)")</f>
        <v xml:space="preserve">   T-shirts et maillots de corps, en bonneterie, de matières textiles (sauf de coton)</v>
      </c>
      <c r="C6631">
        <v>7624738</v>
      </c>
      <c r="D6631">
        <v>16131</v>
      </c>
    </row>
    <row r="6632" spans="1:4" x14ac:dyDescent="0.25">
      <c r="A6632" t="str">
        <f>T("   611190")</f>
        <v xml:space="preserve">   611190</v>
      </c>
      <c r="B6632" t="str">
        <f>T("   VÊTEMENTS ET ACCESSOIRES DU VÊTEMENT, EN BONNETERIE, DE MATIÈRES TEXTILES, POUR BÉBÉS (SAUF DE COTON, FIBRES SYNTHÉTIQUES ET SAUF BONNETS)")</f>
        <v xml:space="preserve">   VÊTEMENTS ET ACCESSOIRES DU VÊTEMENT, EN BONNETERIE, DE MATIÈRES TEXTILES, POUR BÉBÉS (SAUF DE COTON, FIBRES SYNTHÉTIQUES ET SAUF BONNETS)</v>
      </c>
      <c r="C6632">
        <v>11305250</v>
      </c>
      <c r="D6632">
        <v>14883</v>
      </c>
    </row>
    <row r="6633" spans="1:4" x14ac:dyDescent="0.25">
      <c r="A6633" t="str">
        <f>T("   620342")</f>
        <v xml:space="preserve">   620342</v>
      </c>
      <c r="B6633" t="str">
        <f>T("   Pantalons, y.c. knickers et pantalons simil., salopettes à bretelles, culottes et shorts, de coton, pour hommes ou garçonnets (autres qu'en bonneterie et sauf slips et caleçons ainsi que maillots, culottes et slips de bain)")</f>
        <v xml:space="preserve">   Pantalons, y.c. knickers et pantalons simil., salopettes à bretelles, culottes et shorts, de coton, pour hommes ou garçonnets (autres qu'en bonneterie et sauf slips et caleçons ainsi que maillots, culottes et slips de bain)</v>
      </c>
      <c r="C6633">
        <v>656250</v>
      </c>
      <c r="D6633">
        <v>150</v>
      </c>
    </row>
    <row r="6634" spans="1:4" x14ac:dyDescent="0.25">
      <c r="A6634" t="str">
        <f>T("   621139")</f>
        <v xml:space="preserve">   621139</v>
      </c>
      <c r="B6634" t="str">
        <f>T("   Survêtements de sport 'trainings' et autres vêtements n.d.a., de matières textiles, pour hommes ou garçonnets (autres que de laine, poils fins, coton, fibres synthétiques ou artificielles, autres qu'en bonneterie)")</f>
        <v xml:space="preserve">   Survêtements de sport 'trainings' et autres vêtements n.d.a., de matières textiles, pour hommes ou garçonnets (autres que de laine, poils fins, coton, fibres synthétiques ou artificielles, autres qu'en bonneterie)</v>
      </c>
      <c r="C6634">
        <v>10574</v>
      </c>
      <c r="D6634">
        <v>5</v>
      </c>
    </row>
    <row r="6635" spans="1:4" x14ac:dyDescent="0.25">
      <c r="A6635" t="str">
        <f>T("   621149")</f>
        <v xml:space="preserve">   621149</v>
      </c>
      <c r="B6635" t="str">
        <f>T("   Survêtements de sport 'trainings' et autres vêtements n.d.a., de matières textiles, pour femmes ou fillettes (autres que de laine, poils fins, coton, fibres synthétiques ou artificielles, autres qu'en bonneterie)")</f>
        <v xml:space="preserve">   Survêtements de sport 'trainings' et autres vêtements n.d.a., de matières textiles, pour femmes ou fillettes (autres que de laine, poils fins, coton, fibres synthétiques ou artificielles, autres qu'en bonneterie)</v>
      </c>
      <c r="C6635">
        <v>50713</v>
      </c>
      <c r="D6635">
        <v>3</v>
      </c>
    </row>
    <row r="6636" spans="1:4" x14ac:dyDescent="0.25">
      <c r="A6636" t="str">
        <f>T("   630299")</f>
        <v xml:space="preserve">   630299</v>
      </c>
      <c r="B6636" t="str">
        <f>T("   LINGE DE TOILETTE OU DE CUISINE, DE MATIÈRES TEXTILES (AUTRE QUE DE COTON, FIBRES SYNTHÉTIQUES OU ARTIFICIELLES ET SAUF SERPILLIÈRES, CHIFFONS À PARQUET, LAVETTES ET CHAMOISETTES)")</f>
        <v xml:space="preserve">   LINGE DE TOILETTE OU DE CUISINE, DE MATIÈRES TEXTILES (AUTRE QUE DE COTON, FIBRES SYNTHÉTIQUES OU ARTIFICIELLES ET SAUF SERPILLIÈRES, CHIFFONS À PARQUET, LAVETTES ET CHAMOISETTES)</v>
      </c>
      <c r="C6636">
        <v>2200000</v>
      </c>
      <c r="D6636">
        <v>4505</v>
      </c>
    </row>
    <row r="6637" spans="1:4" x14ac:dyDescent="0.25">
      <c r="A6637" t="str">
        <f>T("   640590")</f>
        <v xml:space="preserve">   640590</v>
      </c>
      <c r="B6637" t="s">
        <v>289</v>
      </c>
      <c r="C6637">
        <v>1094493</v>
      </c>
      <c r="D6637">
        <v>9000</v>
      </c>
    </row>
    <row r="6638" spans="1:4" x14ac:dyDescent="0.25">
      <c r="A6638" t="str">
        <f>T("   650590")</f>
        <v xml:space="preserve">   650590</v>
      </c>
      <c r="B6638" t="s">
        <v>290</v>
      </c>
      <c r="C6638">
        <v>29734</v>
      </c>
      <c r="D6638">
        <v>11</v>
      </c>
    </row>
    <row r="6639" spans="1:4" x14ac:dyDescent="0.25">
      <c r="A6639" t="str">
        <f>T("   650699")</f>
        <v xml:space="preserve">   650699</v>
      </c>
      <c r="B6639" t="str">
        <f>T("   Chapeaux et autres coiffures, même garnis, n.d.a.")</f>
        <v xml:space="preserve">   Chapeaux et autres coiffures, même garnis, n.d.a.</v>
      </c>
      <c r="C6639">
        <v>77350</v>
      </c>
      <c r="D6639">
        <v>15</v>
      </c>
    </row>
    <row r="6640" spans="1:4" x14ac:dyDescent="0.25">
      <c r="A6640" t="str">
        <f>T("   660110")</f>
        <v xml:space="preserve">   660110</v>
      </c>
      <c r="B6640" t="str">
        <f>T("   Parasols de jardin et articles simil. (sauf tentes de plage)")</f>
        <v xml:space="preserve">   Parasols de jardin et articles simil. (sauf tentes de plage)</v>
      </c>
      <c r="C6640">
        <v>12080</v>
      </c>
      <c r="D6640">
        <v>10</v>
      </c>
    </row>
    <row r="6641" spans="1:4" x14ac:dyDescent="0.25">
      <c r="A6641" t="str">
        <f>T("   691090")</f>
        <v xml:space="preserve">   691090</v>
      </c>
      <c r="B6641" t="s">
        <v>313</v>
      </c>
      <c r="C6641">
        <v>4245000</v>
      </c>
      <c r="D6641">
        <v>11121</v>
      </c>
    </row>
    <row r="6642" spans="1:4" x14ac:dyDescent="0.25">
      <c r="A6642" t="str">
        <f>T("   700991")</f>
        <v xml:space="preserve">   700991</v>
      </c>
      <c r="B6642" t="str">
        <f>T("   Miroirs en verre non encadrés (sauf miroirs rétroviseurs pour véhicules, miroirs optiques, optiquement travaillés et miroirs de plus de 100 ans)")</f>
        <v xml:space="preserve">   Miroirs en verre non encadrés (sauf miroirs rétroviseurs pour véhicules, miroirs optiques, optiquement travaillés et miroirs de plus de 100 ans)</v>
      </c>
      <c r="C6642">
        <v>300430</v>
      </c>
      <c r="D6642">
        <v>1816</v>
      </c>
    </row>
    <row r="6643" spans="1:4" x14ac:dyDescent="0.25">
      <c r="A6643" t="str">
        <f>T("   701321")</f>
        <v xml:space="preserve">   701321</v>
      </c>
      <c r="B6643" t="str">
        <f>T("   Verres à boire en cristal au plomb")</f>
        <v xml:space="preserve">   Verres à boire en cristal au plomb</v>
      </c>
      <c r="C6643">
        <v>5889538</v>
      </c>
      <c r="D6643">
        <v>21779.27</v>
      </c>
    </row>
    <row r="6644" spans="1:4" x14ac:dyDescent="0.25">
      <c r="A6644" t="str">
        <f>T("   701329")</f>
        <v xml:space="preserve">   701329</v>
      </c>
      <c r="B6644" t="str">
        <f>T("   Verres à boire (autres qu'en vitrocérame, autres qu'en cristal au plomb)")</f>
        <v xml:space="preserve">   Verres à boire (autres qu'en vitrocérame, autres qu'en cristal au plomb)</v>
      </c>
      <c r="C6644">
        <v>6037845</v>
      </c>
      <c r="D6644">
        <v>25157</v>
      </c>
    </row>
    <row r="6645" spans="1:4" x14ac:dyDescent="0.25">
      <c r="A6645" t="str">
        <f>T("   701339")</f>
        <v xml:space="preserve">   701339</v>
      </c>
      <c r="B6645" t="s">
        <v>330</v>
      </c>
      <c r="C6645">
        <v>7734792</v>
      </c>
      <c r="D6645">
        <v>17120</v>
      </c>
    </row>
    <row r="6646" spans="1:4" x14ac:dyDescent="0.25">
      <c r="A6646" t="str">
        <f>T("   701399")</f>
        <v xml:space="preserve">   701399</v>
      </c>
      <c r="B6646" t="s">
        <v>332</v>
      </c>
      <c r="C6646">
        <v>18672609</v>
      </c>
      <c r="D6646">
        <v>63589.2</v>
      </c>
    </row>
    <row r="6647" spans="1:4" x14ac:dyDescent="0.25">
      <c r="A6647" t="str">
        <f>T("   732113")</f>
        <v xml:space="preserve">   732113</v>
      </c>
      <c r="B6647" t="str">
        <f>T("   Appareils de cuisson tels que foyers de cuisson, barbecues, grilloirs, réchauds et cuisinières, et chauffe-plats, à usage domestique, en fonte, fer ou acier, à combustibles solides (à l'excl. des appareils destinés à la cuisine à grande échelle)")</f>
        <v xml:space="preserve">   Appareils de cuisson tels que foyers de cuisson, barbecues, grilloirs, réchauds et cuisinières, et chauffe-plats, à usage domestique, en fonte, fer ou acier, à combustibles solides (à l'excl. des appareils destinés à la cuisine à grande échelle)</v>
      </c>
      <c r="C6647">
        <v>485150</v>
      </c>
      <c r="D6647">
        <v>586</v>
      </c>
    </row>
    <row r="6648" spans="1:4" x14ac:dyDescent="0.25">
      <c r="A6648" t="str">
        <f>T("   732392")</f>
        <v xml:space="preserve">   732392</v>
      </c>
      <c r="B6648" t="s">
        <v>365</v>
      </c>
      <c r="C6648">
        <v>7000000</v>
      </c>
      <c r="D6648">
        <v>18880</v>
      </c>
    </row>
    <row r="6649" spans="1:4" x14ac:dyDescent="0.25">
      <c r="A6649" t="str">
        <f>T("   732690")</f>
        <v xml:space="preserve">   732690</v>
      </c>
      <c r="B6649"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6649">
        <v>16106</v>
      </c>
      <c r="D6649">
        <v>11</v>
      </c>
    </row>
    <row r="6650" spans="1:4" x14ac:dyDescent="0.25">
      <c r="A6650" t="str">
        <f>T("   830249")</f>
        <v xml:space="preserve">   830249</v>
      </c>
      <c r="B6650" t="s">
        <v>381</v>
      </c>
      <c r="C6650">
        <v>50713</v>
      </c>
      <c r="D6650">
        <v>2</v>
      </c>
    </row>
    <row r="6651" spans="1:4" x14ac:dyDescent="0.25">
      <c r="A6651" t="str">
        <f>T("   830300")</f>
        <v xml:space="preserve">   830300</v>
      </c>
      <c r="B6651" t="str">
        <f>T("   Coffres-forts, portes blindées et compartiments pour chambres fortes, coffres et cassettes de sûreté et articles simil., en métaux communs")</f>
        <v xml:space="preserve">   Coffres-forts, portes blindées et compartiments pour chambres fortes, coffres et cassettes de sûreté et articles simil., en métaux communs</v>
      </c>
      <c r="C6651">
        <v>2114936</v>
      </c>
      <c r="D6651">
        <v>2540</v>
      </c>
    </row>
    <row r="6652" spans="1:4" x14ac:dyDescent="0.25">
      <c r="A6652" t="str">
        <f>T("   841451")</f>
        <v xml:space="preserve">   841451</v>
      </c>
      <c r="B6652" t="str">
        <f>T("   Ventilateurs de table, de sol, muraux, plafonniers, de toitures ou de fenêtres, à moteur électrique incorporé, d'une puissance &lt;= 125 W")</f>
        <v xml:space="preserve">   Ventilateurs de table, de sol, muraux, plafonniers, de toitures ou de fenêtres, à moteur électrique incorporé, d'une puissance &lt;= 125 W</v>
      </c>
      <c r="C6652">
        <v>129324</v>
      </c>
      <c r="D6652">
        <v>170</v>
      </c>
    </row>
    <row r="6653" spans="1:4" x14ac:dyDescent="0.25">
      <c r="A6653" t="str">
        <f>T("   841510")</f>
        <v xml:space="preserve">   841510</v>
      </c>
      <c r="B6653" t="s">
        <v>399</v>
      </c>
      <c r="C6653">
        <v>471321</v>
      </c>
      <c r="D6653">
        <v>605</v>
      </c>
    </row>
    <row r="6654" spans="1:4" x14ac:dyDescent="0.25">
      <c r="A6654" t="str">
        <f>T("   841590")</f>
        <v xml:space="preserve">   841590</v>
      </c>
      <c r="B6654" t="str">
        <f>T("   Parties de machines et appareils pour le conditionnement de l'air comprenant un ventilateur à moteur et des dispositifs propres à modifier la température et l'humidité de l'air, n.d.a.")</f>
        <v xml:space="preserve">   Parties de machines et appareils pour le conditionnement de l'air comprenant un ventilateur à moteur et des dispositifs propres à modifier la température et l'humidité de l'air, n.d.a.</v>
      </c>
      <c r="C6654">
        <v>930150</v>
      </c>
      <c r="D6654">
        <v>1126</v>
      </c>
    </row>
    <row r="6655" spans="1:4" x14ac:dyDescent="0.25">
      <c r="A6655" t="str">
        <f>T("   841830")</f>
        <v xml:space="preserve">   841830</v>
      </c>
      <c r="B6655" t="str">
        <f>T("   Meubles congélateurs-conservateurs du type coffre, capacité &lt;= 800 l")</f>
        <v xml:space="preserve">   Meubles congélateurs-conservateurs du type coffre, capacité &lt;= 800 l</v>
      </c>
      <c r="C6655">
        <v>4905168</v>
      </c>
      <c r="D6655">
        <v>3795</v>
      </c>
    </row>
    <row r="6656" spans="1:4" x14ac:dyDescent="0.25">
      <c r="A6656" t="str">
        <f>T("   844390")</f>
        <v xml:space="preserve">   844390</v>
      </c>
      <c r="B6656" t="str">
        <f>T("   Parties de machines et appareils à imprimer et de leur machines et appareils auxiliaires, n.d.a.")</f>
        <v xml:space="preserve">   Parties de machines et appareils à imprimer et de leur machines et appareils auxiliaires, n.d.a.</v>
      </c>
      <c r="C6656">
        <v>151358</v>
      </c>
      <c r="D6656">
        <v>117</v>
      </c>
    </row>
    <row r="6657" spans="1:4" x14ac:dyDescent="0.25">
      <c r="A6657" t="str">
        <f>T("   845011")</f>
        <v xml:space="preserve">   845011</v>
      </c>
      <c r="B6657" t="str">
        <f>T("   Machines à laver le linge entièrement automatiques, d'une capacité unitaire exprimée en poids de linge sec &lt;= 6 kg")</f>
        <v xml:space="preserve">   Machines à laver le linge entièrement automatiques, d'une capacité unitaire exprimée en poids de linge sec &lt;= 6 kg</v>
      </c>
      <c r="C6657">
        <v>1486661</v>
      </c>
      <c r="D6657">
        <v>1936</v>
      </c>
    </row>
    <row r="6658" spans="1:4" x14ac:dyDescent="0.25">
      <c r="A6658" t="str">
        <f>T("   847010")</f>
        <v xml:space="preserve">   847010</v>
      </c>
      <c r="B6658" t="s">
        <v>435</v>
      </c>
      <c r="C6658">
        <v>2643204</v>
      </c>
      <c r="D6658">
        <v>3506</v>
      </c>
    </row>
    <row r="6659" spans="1:4" x14ac:dyDescent="0.25">
      <c r="A6659" t="str">
        <f>T("   848180")</f>
        <v xml:space="preserve">   848180</v>
      </c>
      <c r="B6659"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6659">
        <v>500497</v>
      </c>
      <c r="D6659">
        <v>3024</v>
      </c>
    </row>
    <row r="6660" spans="1:4" x14ac:dyDescent="0.25">
      <c r="A6660" t="str">
        <f>T("   850239")</f>
        <v xml:space="preserve">   850239</v>
      </c>
      <c r="B6660" t="str">
        <f>T("   Groupes électrogènes (autres qu'à énergie éolienne et à moteurs à piston)")</f>
        <v xml:space="preserve">   Groupes électrogènes (autres qu'à énergie éolienne et à moteurs à piston)</v>
      </c>
      <c r="C6660">
        <v>11898000</v>
      </c>
      <c r="D6660">
        <v>22005</v>
      </c>
    </row>
    <row r="6661" spans="1:4" x14ac:dyDescent="0.25">
      <c r="A6661" t="str">
        <f>T("   850300")</f>
        <v xml:space="preserve">   850300</v>
      </c>
      <c r="B6661" t="str">
        <f>T("   Parties reconnaissables comme étant exclusivement ou principalement destinées aux moteurs et machines génératrices électriques, groupes électrogènes ou convertisseurs rotatifs électriques n.d.a.")</f>
        <v xml:space="preserve">   Parties reconnaissables comme étant exclusivement ou principalement destinées aux moteurs et machines génératrices électriques, groupes électrogènes ou convertisseurs rotatifs électriques n.d.a.</v>
      </c>
      <c r="C6661">
        <v>821263</v>
      </c>
      <c r="D6661">
        <v>1885</v>
      </c>
    </row>
    <row r="6662" spans="1:4" x14ac:dyDescent="0.25">
      <c r="A6662" t="str">
        <f>T("   850680")</f>
        <v xml:space="preserve">   850680</v>
      </c>
      <c r="B6662" t="str">
        <f>T("   Piles et batteries de piles électriques (sauf hors d'usage et autres que piles et batteries à l'oxyde d'argent, de mercure, au bioxyde de manganèse, au lithium et à l'air-zinc)")</f>
        <v xml:space="preserve">   Piles et batteries de piles électriques (sauf hors d'usage et autres que piles et batteries à l'oxyde d'argent, de mercure, au bioxyde de manganèse, au lithium et à l'air-zinc)</v>
      </c>
      <c r="C6662">
        <v>15928533</v>
      </c>
      <c r="D6662">
        <v>11121</v>
      </c>
    </row>
    <row r="6663" spans="1:4" x14ac:dyDescent="0.25">
      <c r="A6663" t="str">
        <f>T("   851629")</f>
        <v xml:space="preserve">   851629</v>
      </c>
      <c r="B6663" t="str">
        <f>T("   Appareils électriques pour le chauffage des locaux, du sol ou pour usages simil. (sauf radiateurs à accumulation)")</f>
        <v xml:space="preserve">   Appareils électriques pour le chauffage des locaux, du sol ou pour usages simil. (sauf radiateurs à accumulation)</v>
      </c>
      <c r="C6663">
        <v>346347</v>
      </c>
      <c r="D6663">
        <v>2090</v>
      </c>
    </row>
    <row r="6664" spans="1:4" x14ac:dyDescent="0.25">
      <c r="A6664" t="str">
        <f>T("   851650")</f>
        <v xml:space="preserve">   851650</v>
      </c>
      <c r="B6664" t="str">
        <f>T("   Fours à micro-ondes")</f>
        <v xml:space="preserve">   Fours à micro-ondes</v>
      </c>
      <c r="C6664">
        <v>767156</v>
      </c>
      <c r="D6664">
        <v>976</v>
      </c>
    </row>
    <row r="6665" spans="1:4" x14ac:dyDescent="0.25">
      <c r="A6665" t="str">
        <f>T("   900911")</f>
        <v xml:space="preserve">   900911</v>
      </c>
      <c r="B6665" t="str">
        <f>T("   Appareils de photocopie électrostatiques, fonctionnant par reproduction directe de l'image de l'original sur la copie [procédé direct]")</f>
        <v xml:space="preserve">   Appareils de photocopie électrostatiques, fonctionnant par reproduction directe de l'image de l'original sur la copie [procédé direct]</v>
      </c>
      <c r="C6665">
        <v>1475740</v>
      </c>
      <c r="D6665">
        <v>1142</v>
      </c>
    </row>
    <row r="6666" spans="1:4" x14ac:dyDescent="0.25">
      <c r="A6666" t="str">
        <f>T("   900999")</f>
        <v xml:space="preserve">   900999</v>
      </c>
      <c r="B6666" t="str">
        <f>T("   Parties et accessoires d'appareils de photocopie et de thermocopie, n.d.a. (à l'excl. des dispositifs automatiques d'alimentation en documents, des dispositifs d'alimentation en papier et des dispositifs de tri)")</f>
        <v xml:space="preserve">   Parties et accessoires d'appareils de photocopie et de thermocopie, n.d.a. (à l'excl. des dispositifs automatiques d'alimentation en documents, des dispositifs d'alimentation en papier et des dispositifs de tri)</v>
      </c>
      <c r="C6666">
        <v>288752</v>
      </c>
      <c r="D6666">
        <v>223</v>
      </c>
    </row>
    <row r="6667" spans="1:4" x14ac:dyDescent="0.25">
      <c r="A6667" t="str">
        <f>T("   901890")</f>
        <v xml:space="preserve">   901890</v>
      </c>
      <c r="B6667" t="str">
        <f>T("   Instruments et appareils pour la médecine, la chirurgie ou l'art vétérinaire, n.d.a.")</f>
        <v xml:space="preserve">   Instruments et appareils pour la médecine, la chirurgie ou l'art vétérinaire, n.d.a.</v>
      </c>
      <c r="C6667">
        <v>7045</v>
      </c>
      <c r="D6667">
        <v>5</v>
      </c>
    </row>
    <row r="6668" spans="1:4" x14ac:dyDescent="0.25">
      <c r="A6668" t="str">
        <f>T("   903289")</f>
        <v xml:space="preserve">   903289</v>
      </c>
      <c r="B6668" t="s">
        <v>508</v>
      </c>
      <c r="C6668">
        <v>2891018</v>
      </c>
      <c r="D6668">
        <v>3470</v>
      </c>
    </row>
    <row r="6669" spans="1:4" x14ac:dyDescent="0.25">
      <c r="A6669" t="str">
        <f>T("   940130")</f>
        <v xml:space="preserve">   940130</v>
      </c>
      <c r="B6669" t="str">
        <f>T("   Sièges pivotants, ajustables en hauteur (à l'excl. de ceux pour la médecine, la chirurgie, l'art dentaire ou vétérinaire, ainsi que des fauteuils pour salons de coiffure)")</f>
        <v xml:space="preserve">   Sièges pivotants, ajustables en hauteur (à l'excl. de ceux pour la médecine, la chirurgie, l'art dentaire ou vétérinaire, ainsi que des fauteuils pour salons de coiffure)</v>
      </c>
      <c r="C6669">
        <v>408139</v>
      </c>
      <c r="D6669">
        <v>655</v>
      </c>
    </row>
    <row r="6670" spans="1:4" x14ac:dyDescent="0.25">
      <c r="A6670" t="str">
        <f>T("   940161")</f>
        <v xml:space="preserve">   940161</v>
      </c>
      <c r="B6670" t="str">
        <f>T("   Sièges, avec bâti en bois, rembourrés (non transformables en lits)")</f>
        <v xml:space="preserve">   Sièges, avec bâti en bois, rembourrés (non transformables en lits)</v>
      </c>
      <c r="C6670">
        <v>9880203</v>
      </c>
      <c r="D6670">
        <v>5176</v>
      </c>
    </row>
    <row r="6671" spans="1:4" x14ac:dyDescent="0.25">
      <c r="A6671" t="str">
        <f>T("   940171")</f>
        <v xml:space="preserve">   940171</v>
      </c>
      <c r="B6671" t="str">
        <f>T("   Sièges, avec bâti en métal, rembourrés (autres que pour véhicules aériens ou automobiles, autres que fauteuils pivotants ajustables en hauteur et autres que pour la médecine, l'art dentaire ou la chirurgie)")</f>
        <v xml:space="preserve">   Sièges, avec bâti en métal, rembourrés (autres que pour véhicules aériens ou automobiles, autres que fauteuils pivotants ajustables en hauteur et autres que pour la médecine, l'art dentaire ou la chirurgie)</v>
      </c>
      <c r="C6671">
        <v>184499</v>
      </c>
      <c r="D6671">
        <v>192</v>
      </c>
    </row>
    <row r="6672" spans="1:4" x14ac:dyDescent="0.25">
      <c r="A6672" t="str">
        <f>T("   940190")</f>
        <v xml:space="preserve">   940190</v>
      </c>
      <c r="B6672" t="str">
        <f>T("   Parties de sièges, n.d.a.")</f>
        <v xml:space="preserve">   Parties de sièges, n.d.a.</v>
      </c>
      <c r="C6672">
        <v>3297</v>
      </c>
      <c r="D6672">
        <v>3</v>
      </c>
    </row>
    <row r="6673" spans="1:4" x14ac:dyDescent="0.25">
      <c r="A6673" t="str">
        <f>T("   940310")</f>
        <v xml:space="preserve">   940310</v>
      </c>
      <c r="B6673" t="str">
        <f>T("   Meubles de bureau en métal (sauf sièges)")</f>
        <v xml:space="preserve">   Meubles de bureau en métal (sauf sièges)</v>
      </c>
      <c r="C6673">
        <v>4567680</v>
      </c>
      <c r="D6673">
        <v>4914</v>
      </c>
    </row>
    <row r="6674" spans="1:4" x14ac:dyDescent="0.25">
      <c r="A6674" t="str">
        <f>T("   940330")</f>
        <v xml:space="preserve">   940330</v>
      </c>
      <c r="B6674" t="str">
        <f>T("   Meubles de bureau en bois (sauf sièges)")</f>
        <v xml:space="preserve">   Meubles de bureau en bois (sauf sièges)</v>
      </c>
      <c r="C6674">
        <v>16365828</v>
      </c>
      <c r="D6674">
        <v>18887</v>
      </c>
    </row>
    <row r="6675" spans="1:4" x14ac:dyDescent="0.25">
      <c r="A6675" t="str">
        <f>T("   940360")</f>
        <v xml:space="preserve">   940360</v>
      </c>
      <c r="B6675" t="str">
        <f>T("   Meubles en bois (autres que pour bureaux, cuisines ou chambres à coucher et autres que sièges)")</f>
        <v xml:space="preserve">   Meubles en bois (autres que pour bureaux, cuisines ou chambres à coucher et autres que sièges)</v>
      </c>
      <c r="C6675">
        <v>3783741</v>
      </c>
      <c r="D6675">
        <v>8059</v>
      </c>
    </row>
    <row r="6676" spans="1:4" x14ac:dyDescent="0.25">
      <c r="A6676" t="str">
        <f>T("   940390")</f>
        <v xml:space="preserve">   940390</v>
      </c>
      <c r="B6676" t="str">
        <f>T("   PARTIES DE MEUBLES, N.D.A. (AUTRES QUE DE SIÈGES ET MOBILIER POUR LA MÉDECINE, L'ART DENTAIRE ET VÉTÉRINAIRE OU LA CHIRURGIE)")</f>
        <v xml:space="preserve">   PARTIES DE MEUBLES, N.D.A. (AUTRES QUE DE SIÈGES ET MOBILIER POUR LA MÉDECINE, L'ART DENTAIRE ET VÉTÉRINAIRE OU LA CHIRURGIE)</v>
      </c>
      <c r="C6676">
        <v>71226</v>
      </c>
      <c r="D6676">
        <v>605</v>
      </c>
    </row>
    <row r="6677" spans="1:4" x14ac:dyDescent="0.25">
      <c r="A6677" t="str">
        <f>T("   950669")</f>
        <v xml:space="preserve">   950669</v>
      </c>
      <c r="B6677" t="str">
        <f>T("   Ballons et balles (autres que gonflables et autres que balles de golf ou de tennis de table)")</f>
        <v xml:space="preserve">   Ballons et balles (autres que gonflables et autres que balles de golf ou de tennis de table)</v>
      </c>
      <c r="C6677">
        <v>82539</v>
      </c>
      <c r="D6677">
        <v>21</v>
      </c>
    </row>
    <row r="6678" spans="1:4" x14ac:dyDescent="0.25">
      <c r="A6678" t="str">
        <f>T("   960810")</f>
        <v xml:space="preserve">   960810</v>
      </c>
      <c r="B6678" t="str">
        <f>T("   Stylos et crayons à bille")</f>
        <v xml:space="preserve">   Stylos et crayons à bille</v>
      </c>
      <c r="C6678">
        <v>50713</v>
      </c>
      <c r="D6678">
        <v>1</v>
      </c>
    </row>
    <row r="6679" spans="1:4" x14ac:dyDescent="0.25">
      <c r="A6679" t="str">
        <f>T("   961700")</f>
        <v xml:space="preserve">   961700</v>
      </c>
      <c r="B6679" t="str">
        <f>T("   Bouteilles isolantes et autres récipients isothermiques montés, dont l'isolation est assurée par le vide, ainsi que leurs parties (à l'excl. des ampoules en verre)")</f>
        <v xml:space="preserve">   Bouteilles isolantes et autres récipients isothermiques montés, dont l'isolation est assurée par le vide, ainsi que leurs parties (à l'excl. des ampoules en verre)</v>
      </c>
      <c r="C6679">
        <v>2000000</v>
      </c>
      <c r="D6679">
        <v>4500</v>
      </c>
    </row>
    <row r="6680" spans="1:4" x14ac:dyDescent="0.25">
      <c r="A6680" t="str">
        <f>T("IE")</f>
        <v>IE</v>
      </c>
      <c r="B6680" t="str">
        <f>T("Irlande")</f>
        <v>Irlande</v>
      </c>
    </row>
    <row r="6681" spans="1:4" x14ac:dyDescent="0.25">
      <c r="A6681" t="str">
        <f>T("   ZZ_Total_Produit_SH6")</f>
        <v xml:space="preserve">   ZZ_Total_Produit_SH6</v>
      </c>
      <c r="B6681" t="str">
        <f>T("   ZZ_Total_Produit_SH6")</f>
        <v xml:space="preserve">   ZZ_Total_Produit_SH6</v>
      </c>
      <c r="C6681">
        <v>2114199909</v>
      </c>
      <c r="D6681">
        <v>3900536.5</v>
      </c>
    </row>
    <row r="6682" spans="1:4" x14ac:dyDescent="0.25">
      <c r="A6682" t="str">
        <f>T("   020714")</f>
        <v xml:space="preserve">   020714</v>
      </c>
      <c r="B6682" t="str">
        <f>T("   Morceaux et abats comestibles de coqs et de poules [des espèces domestiques], congelés")</f>
        <v xml:space="preserve">   Morceaux et abats comestibles de coqs et de poules [des espèces domestiques], congelés</v>
      </c>
      <c r="C6682">
        <v>330096123</v>
      </c>
      <c r="D6682">
        <v>548960</v>
      </c>
    </row>
    <row r="6683" spans="1:4" x14ac:dyDescent="0.25">
      <c r="A6683" t="str">
        <f>T("   030329")</f>
        <v xml:space="preserve">   030329</v>
      </c>
      <c r="B6683" t="str">
        <f>T("   Salmonidés, congelés (à l'excl. des saumons du Pacifique, de l'Atlantique et du Danube ainsi que des truites)")</f>
        <v xml:space="preserve">   Salmonidés, congelés (à l'excl. des saumons du Pacifique, de l'Atlantique et du Danube ainsi que des truites)</v>
      </c>
      <c r="C6683">
        <v>21875610</v>
      </c>
      <c r="D6683">
        <v>125000</v>
      </c>
    </row>
    <row r="6684" spans="1:4" x14ac:dyDescent="0.25">
      <c r="A6684" t="str">
        <f>T("   040221")</f>
        <v xml:space="preserve">   040221</v>
      </c>
      <c r="B6684" t="str">
        <f>T("   Lait et crème de lait, en poudre, en granulés ou sous d'autres formes solides, d'une teneur en poids de matières grasses &gt; 1,5%, sans addition de sucre ou d'autres édulcorants")</f>
        <v xml:space="preserve">   Lait et crème de lait, en poudre, en granulés ou sous d'autres formes solides, d'une teneur en poids de matières grasses &gt; 1,5%, sans addition de sucre ou d'autres édulcorants</v>
      </c>
      <c r="C6684">
        <v>15802866</v>
      </c>
      <c r="D6684">
        <v>6240</v>
      </c>
    </row>
    <row r="6685" spans="1:4" x14ac:dyDescent="0.25">
      <c r="A6685" t="str">
        <f>T("   190190")</f>
        <v xml:space="preserve">   190190</v>
      </c>
      <c r="B6685" t="s">
        <v>49</v>
      </c>
      <c r="C6685">
        <v>3518570</v>
      </c>
      <c r="D6685">
        <v>11172</v>
      </c>
    </row>
    <row r="6686" spans="1:4" x14ac:dyDescent="0.25">
      <c r="A6686" t="str">
        <f>T("   210690")</f>
        <v xml:space="preserve">   210690</v>
      </c>
      <c r="B6686" t="str">
        <f>T("   Préparations alimentaires, n.d.a.")</f>
        <v xml:space="preserve">   Préparations alimentaires, n.d.a.</v>
      </c>
      <c r="C6686">
        <v>113614240</v>
      </c>
      <c r="D6686">
        <v>20282</v>
      </c>
    </row>
    <row r="6687" spans="1:4" x14ac:dyDescent="0.25">
      <c r="A6687" t="str">
        <f>T("   300490")</f>
        <v xml:space="preserve">   300490</v>
      </c>
      <c r="B6687" t="s">
        <v>80</v>
      </c>
      <c r="C6687">
        <v>376089</v>
      </c>
      <c r="D6687">
        <v>5</v>
      </c>
    </row>
    <row r="6688" spans="1:4" x14ac:dyDescent="0.25">
      <c r="A6688" t="str">
        <f>T("   340212")</f>
        <v xml:space="preserve">   340212</v>
      </c>
      <c r="B6688" t="str">
        <f>T("   Agents de surface organiques, cationiques, même conditionnés pour la vente au détail (à l'excl. des savons)")</f>
        <v xml:space="preserve">   Agents de surface organiques, cationiques, même conditionnés pour la vente au détail (à l'excl. des savons)</v>
      </c>
      <c r="C6688">
        <v>2972811</v>
      </c>
      <c r="D6688">
        <v>960</v>
      </c>
    </row>
    <row r="6689" spans="1:4" x14ac:dyDescent="0.25">
      <c r="A6689" t="str">
        <f>T("   350790")</f>
        <v xml:space="preserve">   350790</v>
      </c>
      <c r="B6689" t="str">
        <f>T("   Enzymes et enzymes préparées, n.d.a. (à l'excl. de la présure et de ses concentrats)")</f>
        <v xml:space="preserve">   Enzymes et enzymes préparées, n.d.a. (à l'excl. de la présure et de ses concentrats)</v>
      </c>
      <c r="C6689">
        <v>10621961</v>
      </c>
      <c r="D6689">
        <v>733</v>
      </c>
    </row>
    <row r="6690" spans="1:4" x14ac:dyDescent="0.25">
      <c r="A6690" t="str">
        <f>T("   401110")</f>
        <v xml:space="preserve">   401110</v>
      </c>
      <c r="B6690"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6690">
        <v>220445</v>
      </c>
      <c r="D6690">
        <v>100</v>
      </c>
    </row>
    <row r="6691" spans="1:4" x14ac:dyDescent="0.25">
      <c r="A6691" t="str">
        <f>T("   420299")</f>
        <v xml:space="preserve">   420299</v>
      </c>
      <c r="B6691" t="s">
        <v>165</v>
      </c>
      <c r="C6691">
        <v>250221</v>
      </c>
      <c r="D6691">
        <v>410</v>
      </c>
    </row>
    <row r="6692" spans="1:4" x14ac:dyDescent="0.25">
      <c r="A6692" t="str">
        <f>T("   620349")</f>
        <v xml:space="preserve">   620349</v>
      </c>
      <c r="B6692" t="s">
        <v>266</v>
      </c>
      <c r="C6692">
        <v>157430</v>
      </c>
      <c r="D6692">
        <v>60</v>
      </c>
    </row>
    <row r="6693" spans="1:4" x14ac:dyDescent="0.25">
      <c r="A6693" t="str">
        <f>T("   630900")</f>
        <v xml:space="preserve">   630900</v>
      </c>
      <c r="B6693" t="s">
        <v>278</v>
      </c>
      <c r="C6693">
        <v>1549057997</v>
      </c>
      <c r="D6693">
        <v>3030816</v>
      </c>
    </row>
    <row r="6694" spans="1:4" x14ac:dyDescent="0.25">
      <c r="A6694" t="str">
        <f>T("   640590")</f>
        <v xml:space="preserve">   640590</v>
      </c>
      <c r="B6694" t="s">
        <v>289</v>
      </c>
      <c r="C6694">
        <v>273536</v>
      </c>
      <c r="D6694">
        <v>390</v>
      </c>
    </row>
    <row r="6695" spans="1:4" x14ac:dyDescent="0.25">
      <c r="A6695" t="str">
        <f>T("   842919")</f>
        <v xml:space="preserve">   842919</v>
      </c>
      <c r="B6695" t="str">
        <f>T("   Bouteurs 'bulldozers' et bouteurs biais 'angledozers', sur roues")</f>
        <v xml:space="preserve">   Bouteurs 'bulldozers' et bouteurs biais 'angledozers', sur roues</v>
      </c>
      <c r="C6695">
        <v>5247680</v>
      </c>
      <c r="D6695">
        <v>41500</v>
      </c>
    </row>
    <row r="6696" spans="1:4" x14ac:dyDescent="0.25">
      <c r="A6696" t="str">
        <f>T("   842920")</f>
        <v xml:space="preserve">   842920</v>
      </c>
      <c r="B6696" t="str">
        <f>T("   Niveleuses autopropulsées")</f>
        <v xml:space="preserve">   Niveleuses autopropulsées</v>
      </c>
      <c r="C6696">
        <v>8816103</v>
      </c>
      <c r="D6696">
        <v>40000</v>
      </c>
    </row>
    <row r="6697" spans="1:4" x14ac:dyDescent="0.25">
      <c r="A6697" t="str">
        <f>T("   842951")</f>
        <v xml:space="preserve">   842951</v>
      </c>
      <c r="B6697" t="str">
        <f>T("   Chargeuses et chargeuses-pelleteuses, à chargement frontal, autopropulsées")</f>
        <v xml:space="preserve">   Chargeuses et chargeuses-pelleteuses, à chargement frontal, autopropulsées</v>
      </c>
      <c r="C6697">
        <v>3778329</v>
      </c>
      <c r="D6697">
        <v>45000</v>
      </c>
    </row>
    <row r="6698" spans="1:4" x14ac:dyDescent="0.25">
      <c r="A6698" t="str">
        <f>T("   850212")</f>
        <v xml:space="preserve">   850212</v>
      </c>
      <c r="B6698"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6698">
        <v>12794500</v>
      </c>
      <c r="D6698">
        <v>2057</v>
      </c>
    </row>
    <row r="6699" spans="1:4" x14ac:dyDescent="0.25">
      <c r="A6699" t="str">
        <f>T("   852390")</f>
        <v xml:space="preserve">   852390</v>
      </c>
      <c r="B6699" t="str">
        <f>T("   SUPPORTS PRÉPARÉS POUR L'ENREGISTREMENT DU SON OU POUR ENREGISTREMENTS ANALOGUES, NON-ENREGISTRÉS (AUTRES QUE BANDES ET DISQUES MAGNÉTIQUES, CARTES MUNIES D'UNE PISTE MAGNÉTIQUE ET PRODUITS DU CHAPITRE 37)")</f>
        <v xml:space="preserve">   SUPPORTS PRÉPARÉS POUR L'ENREGISTREMENT DU SON OU POUR ENREGISTREMENTS ANALOGUES, NON-ENREGISTRÉS (AUTRES QUE BANDES ET DISQUES MAGNÉTIQUES, CARTES MUNIES D'UNE PISTE MAGNÉTIQUE ET PRODUITS DU CHAPITRE 37)</v>
      </c>
      <c r="C6699">
        <v>63416</v>
      </c>
      <c r="D6699">
        <v>0.5</v>
      </c>
    </row>
    <row r="6700" spans="1:4" x14ac:dyDescent="0.25">
      <c r="A6700" t="str">
        <f>T("   870322")</f>
        <v xml:space="preserve">   870322</v>
      </c>
      <c r="B6700" t="s">
        <v>480</v>
      </c>
      <c r="C6700">
        <v>18061884</v>
      </c>
      <c r="D6700">
        <v>16054</v>
      </c>
    </row>
    <row r="6701" spans="1:4" x14ac:dyDescent="0.25">
      <c r="A6701" t="str">
        <f>T("   870323")</f>
        <v xml:space="preserve">   870323</v>
      </c>
      <c r="B6701" t="s">
        <v>481</v>
      </c>
      <c r="C6701">
        <v>14489578</v>
      </c>
      <c r="D6701">
        <v>7790</v>
      </c>
    </row>
    <row r="6702" spans="1:4" x14ac:dyDescent="0.25">
      <c r="A6702" t="str">
        <f>T("   950390")</f>
        <v xml:space="preserve">   950390</v>
      </c>
      <c r="B6702" t="str">
        <f>T("   Jouets, n.d.a.")</f>
        <v xml:space="preserve">   Jouets, n.d.a.</v>
      </c>
      <c r="C6702">
        <v>2110520</v>
      </c>
      <c r="D6702">
        <v>3007</v>
      </c>
    </row>
    <row r="6703" spans="1:4" x14ac:dyDescent="0.25">
      <c r="A6703" t="str">
        <f>T("IL")</f>
        <v>IL</v>
      </c>
      <c r="B6703" t="str">
        <f>T("Israël")</f>
        <v>Israël</v>
      </c>
    </row>
    <row r="6704" spans="1:4" x14ac:dyDescent="0.25">
      <c r="A6704" t="str">
        <f>T("   ZZ_Total_Produit_SH6")</f>
        <v xml:space="preserve">   ZZ_Total_Produit_SH6</v>
      </c>
      <c r="B6704" t="str">
        <f>T("   ZZ_Total_Produit_SH6")</f>
        <v xml:space="preserve">   ZZ_Total_Produit_SH6</v>
      </c>
      <c r="C6704">
        <v>822255605</v>
      </c>
      <c r="D6704">
        <v>677766</v>
      </c>
    </row>
    <row r="6705" spans="1:4" x14ac:dyDescent="0.25">
      <c r="A6705" t="str">
        <f>T("   080610")</f>
        <v xml:space="preserve">   080610</v>
      </c>
      <c r="B6705" t="str">
        <f>T("   Raisins, frais")</f>
        <v xml:space="preserve">   Raisins, frais</v>
      </c>
      <c r="C6705">
        <v>10658235</v>
      </c>
      <c r="D6705">
        <v>27531</v>
      </c>
    </row>
    <row r="6706" spans="1:4" x14ac:dyDescent="0.25">
      <c r="A6706" t="str">
        <f>T("   080810")</f>
        <v xml:space="preserve">   080810</v>
      </c>
      <c r="B6706" t="str">
        <f>T("   Pommes, fraîches")</f>
        <v xml:space="preserve">   Pommes, fraîches</v>
      </c>
      <c r="C6706">
        <v>7000405</v>
      </c>
      <c r="D6706">
        <v>21614</v>
      </c>
    </row>
    <row r="6707" spans="1:4" x14ac:dyDescent="0.25">
      <c r="A6707" t="str">
        <f>T("   080940")</f>
        <v xml:space="preserve">   080940</v>
      </c>
      <c r="B6707" t="str">
        <f>T("   Prunes et prunelles, fraîches")</f>
        <v xml:space="preserve">   Prunes et prunelles, fraîches</v>
      </c>
      <c r="C6707">
        <v>3342576</v>
      </c>
      <c r="D6707">
        <v>9648</v>
      </c>
    </row>
    <row r="6708" spans="1:4" x14ac:dyDescent="0.25">
      <c r="A6708" t="str">
        <f>T("   380830")</f>
        <v xml:space="preserve">   380830</v>
      </c>
      <c r="B6708" t="str">
        <f>T("   Herbicides, inhibiteurs de germination et régulateurs de croissance pour plantes, présentés dans des formes ou emballages de vente au détail ou à l'état de préparations ou sous forme d'articles")</f>
        <v xml:space="preserve">   Herbicides, inhibiteurs de germination et régulateurs de croissance pour plantes, présentés dans des formes ou emballages de vente au détail ou à l'état de préparations ou sous forme d'articles</v>
      </c>
      <c r="C6708">
        <v>538223051</v>
      </c>
      <c r="D6708">
        <v>152918</v>
      </c>
    </row>
    <row r="6709" spans="1:4" x14ac:dyDescent="0.25">
      <c r="A6709" t="str">
        <f>T("   382200")</f>
        <v xml:space="preserve">   382200</v>
      </c>
      <c r="B6709" t="s">
        <v>126</v>
      </c>
      <c r="C6709">
        <v>5618297</v>
      </c>
      <c r="D6709">
        <v>66</v>
      </c>
    </row>
    <row r="6710" spans="1:4" x14ac:dyDescent="0.25">
      <c r="A6710" t="str">
        <f>T("   491199")</f>
        <v xml:space="preserve">   491199</v>
      </c>
      <c r="B6710" t="str">
        <f>T("   Imprimés, n.d.a.")</f>
        <v xml:space="preserve">   Imprimés, n.d.a.</v>
      </c>
      <c r="C6710">
        <v>45917200</v>
      </c>
      <c r="D6710">
        <v>4400</v>
      </c>
    </row>
    <row r="6711" spans="1:4" x14ac:dyDescent="0.25">
      <c r="A6711" t="str">
        <f>T("   630900")</f>
        <v xml:space="preserve">   630900</v>
      </c>
      <c r="B6711" t="s">
        <v>278</v>
      </c>
      <c r="C6711">
        <v>210995013</v>
      </c>
      <c r="D6711">
        <v>461360</v>
      </c>
    </row>
    <row r="6712" spans="1:4" x14ac:dyDescent="0.25">
      <c r="A6712" t="str">
        <f>T("   842199")</f>
        <v xml:space="preserve">   842199</v>
      </c>
      <c r="B6712" t="str">
        <f>T("   Parties d'appareils pour la filtration ou l'épuration des liquides ou des gaz, n.d.a.")</f>
        <v xml:space="preserve">   Parties d'appareils pour la filtration ou l'épuration des liquides ou des gaz, n.d.a.</v>
      </c>
      <c r="C6712">
        <v>500828</v>
      </c>
      <c r="D6712">
        <v>229</v>
      </c>
    </row>
    <row r="6713" spans="1:4" x14ac:dyDescent="0.25">
      <c r="A6713" t="str">
        <f>T("IN")</f>
        <v>IN</v>
      </c>
      <c r="B6713" t="str">
        <f>T("Inde")</f>
        <v>Inde</v>
      </c>
    </row>
    <row r="6714" spans="1:4" x14ac:dyDescent="0.25">
      <c r="A6714" t="str">
        <f>T("   ZZ_Total_Produit_SH6")</f>
        <v xml:space="preserve">   ZZ_Total_Produit_SH6</v>
      </c>
      <c r="B6714" t="str">
        <f>T("   ZZ_Total_Produit_SH6")</f>
        <v xml:space="preserve">   ZZ_Total_Produit_SH6</v>
      </c>
      <c r="C6714">
        <v>8930579049.9839993</v>
      </c>
      <c r="D6714">
        <v>18652721.68</v>
      </c>
    </row>
    <row r="6715" spans="1:4" x14ac:dyDescent="0.25">
      <c r="A6715" t="str">
        <f>T("   020210")</f>
        <v xml:space="preserve">   020210</v>
      </c>
      <c r="B6715" t="str">
        <f>T("   Carcasses ou demi-carcasses, de bovins, congelées")</f>
        <v xml:space="preserve">   Carcasses ou demi-carcasses, de bovins, congelées</v>
      </c>
      <c r="C6715">
        <v>22807729</v>
      </c>
      <c r="D6715">
        <v>28500</v>
      </c>
    </row>
    <row r="6716" spans="1:4" x14ac:dyDescent="0.25">
      <c r="A6716" t="str">
        <f>T("   020230")</f>
        <v xml:space="preserve">   020230</v>
      </c>
      <c r="B6716" t="str">
        <f>T("   Viandes désossées de bovins, congelées")</f>
        <v xml:space="preserve">   Viandes désossées de bovins, congelées</v>
      </c>
      <c r="C6716">
        <v>31800940</v>
      </c>
      <c r="D6716">
        <v>56840</v>
      </c>
    </row>
    <row r="6717" spans="1:4" x14ac:dyDescent="0.25">
      <c r="A6717" t="str">
        <f>T("   020629")</f>
        <v xml:space="preserve">   020629</v>
      </c>
      <c r="B6717" t="str">
        <f>T("   Abats comestibles de bovins, congelés (à l'excl. des langues et des foies)")</f>
        <v xml:space="preserve">   Abats comestibles de bovins, congelés (à l'excl. des langues et des foies)</v>
      </c>
      <c r="C6717">
        <v>145224401</v>
      </c>
      <c r="D6717">
        <v>254120</v>
      </c>
    </row>
    <row r="6718" spans="1:4" x14ac:dyDescent="0.25">
      <c r="A6718" t="str">
        <f>T("   020712")</f>
        <v xml:space="preserve">   020712</v>
      </c>
      <c r="B6718" t="str">
        <f>T("   COQS ET POULES [DES ESPÈCES DOMESTIQUES], NON-DÉCOUPÉS EN MORCEAUX, CONGELÉS")</f>
        <v xml:space="preserve">   COQS ET POULES [DES ESPÈCES DOMESTIQUES], NON-DÉCOUPÉS EN MORCEAUX, CONGELÉS</v>
      </c>
      <c r="C6718">
        <v>15000493</v>
      </c>
      <c r="D6718">
        <v>25000</v>
      </c>
    </row>
    <row r="6719" spans="1:4" x14ac:dyDescent="0.25">
      <c r="A6719" t="str">
        <f>T("   020714")</f>
        <v xml:space="preserve">   020714</v>
      </c>
      <c r="B6719" t="str">
        <f>T("   Morceaux et abats comestibles de coqs et de poules [des espèces domestiques], congelés")</f>
        <v xml:space="preserve">   Morceaux et abats comestibles de coqs et de poules [des espèces domestiques], congelés</v>
      </c>
      <c r="C6719">
        <v>15000493</v>
      </c>
      <c r="D6719">
        <v>25000</v>
      </c>
    </row>
    <row r="6720" spans="1:4" x14ac:dyDescent="0.25">
      <c r="A6720" t="str">
        <f>T("   090230")</f>
        <v xml:space="preserve">   090230</v>
      </c>
      <c r="B6720" t="s">
        <v>25</v>
      </c>
      <c r="C6720">
        <v>2671457</v>
      </c>
      <c r="D6720">
        <v>1839</v>
      </c>
    </row>
    <row r="6721" spans="1:4" x14ac:dyDescent="0.25">
      <c r="A6721" t="str">
        <f>T("   090930")</f>
        <v xml:space="preserve">   090930</v>
      </c>
      <c r="B6721" t="str">
        <f>T("   Graines de cumin")</f>
        <v xml:space="preserve">   Graines de cumin</v>
      </c>
      <c r="C6721">
        <v>34033</v>
      </c>
      <c r="D6721">
        <v>265</v>
      </c>
    </row>
    <row r="6722" spans="1:4" x14ac:dyDescent="0.25">
      <c r="A6722" t="str">
        <f>T("   091099")</f>
        <v xml:space="preserve">   091099</v>
      </c>
      <c r="B6722" t="s">
        <v>27</v>
      </c>
      <c r="C6722">
        <v>7989382</v>
      </c>
      <c r="D6722">
        <v>4253</v>
      </c>
    </row>
    <row r="6723" spans="1:4" x14ac:dyDescent="0.25">
      <c r="A6723" t="str">
        <f>T("   100630")</f>
        <v xml:space="preserve">   100630</v>
      </c>
      <c r="B6723" t="str">
        <f>T("   Riz semi-blanchi ou blanchi, même poli ou glacé")</f>
        <v xml:space="preserve">   Riz semi-blanchi ou blanchi, même poli ou glacé</v>
      </c>
      <c r="C6723">
        <v>715915288.00899994</v>
      </c>
      <c r="D6723">
        <v>2252902</v>
      </c>
    </row>
    <row r="6724" spans="1:4" x14ac:dyDescent="0.25">
      <c r="A6724" t="str">
        <f>T("   110100")</f>
        <v xml:space="preserve">   110100</v>
      </c>
      <c r="B6724" t="str">
        <f>T("   Farines de froment [blé] ou de méteil")</f>
        <v xml:space="preserve">   Farines de froment [blé] ou de méteil</v>
      </c>
      <c r="C6724">
        <v>2622409.3229999999</v>
      </c>
      <c r="D6724">
        <v>8693</v>
      </c>
    </row>
    <row r="6725" spans="1:4" x14ac:dyDescent="0.25">
      <c r="A6725" t="str">
        <f>T("   110610")</f>
        <v xml:space="preserve">   110610</v>
      </c>
      <c r="B6725" t="str">
        <f>T("   Farines, semoules et poudres de légumes à cosse secs du n° 0713")</f>
        <v xml:space="preserve">   Farines, semoules et poudres de légumes à cosse secs du n° 0713</v>
      </c>
      <c r="C6725">
        <v>141887</v>
      </c>
      <c r="D6725">
        <v>300</v>
      </c>
    </row>
    <row r="6726" spans="1:4" x14ac:dyDescent="0.25">
      <c r="A6726" t="str">
        <f>T("   151190")</f>
        <v xml:space="preserve">   151190</v>
      </c>
      <c r="B6726" t="str">
        <f>T("   Huile de palme et ses fractions, même raffinées, mais non chimiquement modifiées (à l'excl. de l'huile de palme brute)")</f>
        <v xml:space="preserve">   Huile de palme et ses fractions, même raffinées, mais non chimiquement modifiées (à l'excl. de l'huile de palme brute)</v>
      </c>
      <c r="C6726">
        <v>252548501.65200001</v>
      </c>
      <c r="D6726">
        <v>844281</v>
      </c>
    </row>
    <row r="6727" spans="1:4" x14ac:dyDescent="0.25">
      <c r="A6727" t="str">
        <f>T("   151550")</f>
        <v xml:space="preserve">   151550</v>
      </c>
      <c r="B6727" t="str">
        <f>T("   Huile de sésame et ses fractions, même raffinées, mais non chimiquement modifiées")</f>
        <v xml:space="preserve">   Huile de sésame et ses fractions, même raffinées, mais non chimiquement modifiées</v>
      </c>
      <c r="C6727">
        <v>18370</v>
      </c>
      <c r="D6727">
        <v>14</v>
      </c>
    </row>
    <row r="6728" spans="1:4" x14ac:dyDescent="0.25">
      <c r="A6728" t="str">
        <f>T("   170410")</f>
        <v xml:space="preserve">   170410</v>
      </c>
      <c r="B6728" t="str">
        <f>T("   Gommes à mâcher [chewing-gum], même enrobées de sucre")</f>
        <v xml:space="preserve">   Gommes à mâcher [chewing-gum], même enrobées de sucre</v>
      </c>
      <c r="C6728">
        <v>3225000</v>
      </c>
      <c r="D6728">
        <v>2643</v>
      </c>
    </row>
    <row r="6729" spans="1:4" x14ac:dyDescent="0.25">
      <c r="A6729" t="str">
        <f>T("   170490")</f>
        <v xml:space="preserve">   170490</v>
      </c>
      <c r="B6729" t="str">
        <f>T("   Sucreries sans cacao, y.c. le chocolat blanc (à l'excl. des gommes à mâcher)")</f>
        <v xml:space="preserve">   Sucreries sans cacao, y.c. le chocolat blanc (à l'excl. des gommes à mâcher)</v>
      </c>
      <c r="C6729">
        <v>310632668</v>
      </c>
      <c r="D6729">
        <v>1245969.6000000001</v>
      </c>
    </row>
    <row r="6730" spans="1:4" x14ac:dyDescent="0.25">
      <c r="A6730" t="str">
        <f>T("   190120")</f>
        <v xml:space="preserve">   190120</v>
      </c>
      <c r="B6730" t="s">
        <v>48</v>
      </c>
      <c r="C6730">
        <v>718540</v>
      </c>
      <c r="D6730">
        <v>2438</v>
      </c>
    </row>
    <row r="6731" spans="1:4" x14ac:dyDescent="0.25">
      <c r="A6731" t="str">
        <f>T("   190190")</f>
        <v xml:space="preserve">   190190</v>
      </c>
      <c r="B6731" t="s">
        <v>49</v>
      </c>
      <c r="C6731">
        <v>1507737</v>
      </c>
      <c r="D6731">
        <v>2931</v>
      </c>
    </row>
    <row r="6732" spans="1:4" x14ac:dyDescent="0.25">
      <c r="A6732" t="str">
        <f>T("   190219")</f>
        <v xml:space="preserve">   190219</v>
      </c>
      <c r="B6732" t="str">
        <f>T("   PÂTES ALIMENTAIRES NON-CUITES NI FARCIES NI AUTREMENT PRÉPARÉES, NE CONTENANT PAS D'OEUFS")</f>
        <v xml:space="preserve">   PÂTES ALIMENTAIRES NON-CUITES NI FARCIES NI AUTREMENT PRÉPARÉES, NE CONTENANT PAS D'OEUFS</v>
      </c>
      <c r="C6732">
        <v>2995458</v>
      </c>
      <c r="D6732">
        <v>10071</v>
      </c>
    </row>
    <row r="6733" spans="1:4" x14ac:dyDescent="0.25">
      <c r="A6733" t="str">
        <f>T("   190420")</f>
        <v xml:space="preserve">   190420</v>
      </c>
      <c r="B6733" t="str">
        <f>T("   PRÉPARATIONS ALIMENTAIRES OBTENUES À PARTIR DE FLOCONS DE CÉRÉALES NON-GRILLÉS OU DE MÉLANGES DE FLOCONS DE CÉRÉALES NON-GRILLÉS ET DE FLOCONS DE CÉRÉALES GRILLÉS OU DE CÉRÉALES SOUFFLÉS")</f>
        <v xml:space="preserve">   PRÉPARATIONS ALIMENTAIRES OBTENUES À PARTIR DE FLOCONS DE CÉRÉALES NON-GRILLÉS OU DE MÉLANGES DE FLOCONS DE CÉRÉALES NON-GRILLÉS ET DE FLOCONS DE CÉRÉALES GRILLÉS OU DE CÉRÉALES SOUFFLÉS</v>
      </c>
      <c r="C6733">
        <v>2772595</v>
      </c>
      <c r="D6733">
        <v>2895</v>
      </c>
    </row>
    <row r="6734" spans="1:4" x14ac:dyDescent="0.25">
      <c r="A6734" t="str">
        <f>T("   190531")</f>
        <v xml:space="preserve">   190531</v>
      </c>
      <c r="B6734" t="str">
        <f>T("   Biscuits additionnés d'édulcorants")</f>
        <v xml:space="preserve">   Biscuits additionnés d'édulcorants</v>
      </c>
      <c r="C6734">
        <v>116818561</v>
      </c>
      <c r="D6734">
        <v>596588.4</v>
      </c>
    </row>
    <row r="6735" spans="1:4" x14ac:dyDescent="0.25">
      <c r="A6735" t="str">
        <f>T("   190532")</f>
        <v xml:space="preserve">   190532</v>
      </c>
      <c r="B6735" t="str">
        <f>T("   GAUFRES ET GAUFRETTES")</f>
        <v xml:space="preserve">   GAUFRES ET GAUFRETTES</v>
      </c>
      <c r="C6735">
        <v>728612</v>
      </c>
      <c r="D6735">
        <v>5160</v>
      </c>
    </row>
    <row r="6736" spans="1:4" x14ac:dyDescent="0.25">
      <c r="A6736" t="str">
        <f>T("   190590")</f>
        <v xml:space="preserve">   190590</v>
      </c>
      <c r="B6736" t="s">
        <v>51</v>
      </c>
      <c r="C6736">
        <v>17614741</v>
      </c>
      <c r="D6736">
        <v>51180</v>
      </c>
    </row>
    <row r="6737" spans="1:4" x14ac:dyDescent="0.25">
      <c r="A6737" t="str">
        <f>T("   200190")</f>
        <v xml:space="preserve">   200190</v>
      </c>
      <c r="B6737" t="str">
        <f>T("   Légumes, fruits et autres parties comestibles de plantes, préparés ou conservés au vinaigre ou à l'acide acétique (à l'excl. des concombres et des cornichons)")</f>
        <v xml:space="preserve">   Légumes, fruits et autres parties comestibles de plantes, préparés ou conservés au vinaigre ou à l'acide acétique (à l'excl. des concombres et des cornichons)</v>
      </c>
      <c r="C6737">
        <v>350885</v>
      </c>
      <c r="D6737">
        <v>2774</v>
      </c>
    </row>
    <row r="6738" spans="1:4" x14ac:dyDescent="0.25">
      <c r="A6738" t="str">
        <f>T("   200811")</f>
        <v xml:space="preserve">   200811</v>
      </c>
      <c r="B6738" t="str">
        <f>T("   Arachides, préparées ou conservées (sauf confites au sucre)")</f>
        <v xml:space="preserve">   Arachides, préparées ou conservées (sauf confites au sucre)</v>
      </c>
      <c r="C6738">
        <v>2143950</v>
      </c>
      <c r="D6738">
        <v>2395</v>
      </c>
    </row>
    <row r="6739" spans="1:4" x14ac:dyDescent="0.25">
      <c r="A6739" t="str">
        <f>T("   200899")</f>
        <v xml:space="preserve">   200899</v>
      </c>
      <c r="B6739" t="s">
        <v>58</v>
      </c>
      <c r="C6739">
        <v>25405</v>
      </c>
      <c r="D6739">
        <v>200</v>
      </c>
    </row>
    <row r="6740" spans="1:4" x14ac:dyDescent="0.25">
      <c r="A6740" t="str">
        <f>T("   210410")</f>
        <v xml:space="preserve">   210410</v>
      </c>
      <c r="B6740" t="str">
        <f>T("   Préparations pour soupes, potages ou bouillons; soupes, potages ou bouillons préparés")</f>
        <v xml:space="preserve">   Préparations pour soupes, potages ou bouillons; soupes, potages ou bouillons préparés</v>
      </c>
      <c r="C6740">
        <v>1305270</v>
      </c>
      <c r="D6740">
        <v>1561</v>
      </c>
    </row>
    <row r="6741" spans="1:4" x14ac:dyDescent="0.25">
      <c r="A6741" t="str">
        <f>T("   210610")</f>
        <v xml:space="preserve">   210610</v>
      </c>
      <c r="B6741" t="str">
        <f>T("   Concentrats de protéines et substances protéiques texturées")</f>
        <v xml:space="preserve">   Concentrats de protéines et substances protéiques texturées</v>
      </c>
      <c r="C6741">
        <v>300265</v>
      </c>
      <c r="D6741">
        <v>600</v>
      </c>
    </row>
    <row r="6742" spans="1:4" x14ac:dyDescent="0.25">
      <c r="A6742" t="str">
        <f>T("   210690")</f>
        <v xml:space="preserve">   210690</v>
      </c>
      <c r="B6742" t="str">
        <f>T("   Préparations alimentaires, n.d.a.")</f>
        <v xml:space="preserve">   Préparations alimentaires, n.d.a.</v>
      </c>
      <c r="C6742">
        <v>133470</v>
      </c>
      <c r="D6742">
        <v>175</v>
      </c>
    </row>
    <row r="6743" spans="1:4" x14ac:dyDescent="0.25">
      <c r="A6743" t="str">
        <f>T("   220210")</f>
        <v xml:space="preserve">   220210</v>
      </c>
      <c r="B6743"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6743">
        <v>498691</v>
      </c>
      <c r="D6743">
        <v>1860</v>
      </c>
    </row>
    <row r="6744" spans="1:4" x14ac:dyDescent="0.25">
      <c r="A6744" t="str">
        <f>T("   220290")</f>
        <v xml:space="preserve">   220290</v>
      </c>
      <c r="B6744" t="str">
        <f>T("   BOISSONS NON-ALCOOLIQUES (À L'EXCL. DES EAUX, DES JUS DE FRUITS OU DE LÉGUMES AINSI QUE DU LAIT)")</f>
        <v xml:space="preserve">   BOISSONS NON-ALCOOLIQUES (À L'EXCL. DES EAUX, DES JUS DE FRUITS OU DE LÉGUMES AINSI QUE DU LAIT)</v>
      </c>
      <c r="C6744">
        <v>973559</v>
      </c>
      <c r="D6744">
        <v>2390</v>
      </c>
    </row>
    <row r="6745" spans="1:4" x14ac:dyDescent="0.25">
      <c r="A6745" t="str">
        <f>T("   220421")</f>
        <v xml:space="preserve">   220421</v>
      </c>
      <c r="B6745" t="str">
        <f>T("   Vins de raisins frais, y.c. les vins enrichis en alcool (à l'excl. des vins mousseux); moûts de raisins dont la fermentation a été empêchée ou arrêtée par addition d'alcool, en récipients d'une contenance &lt;= 2 l")</f>
        <v xml:space="preserve">   Vins de raisins frais, y.c. les vins enrichis en alcool (à l'excl. des vins mousseux); moûts de raisins dont la fermentation a été empêchée ou arrêtée par addition d'alcool, en récipients d'une contenance &lt;= 2 l</v>
      </c>
      <c r="C6745">
        <v>4549032</v>
      </c>
      <c r="D6745">
        <v>10960</v>
      </c>
    </row>
    <row r="6746" spans="1:4" x14ac:dyDescent="0.25">
      <c r="A6746" t="str">
        <f>T("   220830")</f>
        <v xml:space="preserve">   220830</v>
      </c>
      <c r="B6746" t="str">
        <f>T("   Whiskies")</f>
        <v xml:space="preserve">   Whiskies</v>
      </c>
      <c r="C6746">
        <v>74149110</v>
      </c>
      <c r="D6746">
        <v>192063</v>
      </c>
    </row>
    <row r="6747" spans="1:4" x14ac:dyDescent="0.25">
      <c r="A6747" t="str">
        <f>T("   220840")</f>
        <v xml:space="preserve">   220840</v>
      </c>
      <c r="B6747" t="str">
        <f>T("   RHUM ET AUTRES EAUX-DE-VIE PROVENANT DE LA DISTILLATION, APRÈS FERMENTATION, DE PRODUITS DE CANNES À SUCRE")</f>
        <v xml:space="preserve">   RHUM ET AUTRES EAUX-DE-VIE PROVENANT DE LA DISTILLATION, APRÈS FERMENTATION, DE PRODUITS DE CANNES À SUCRE</v>
      </c>
      <c r="C6747">
        <v>701495</v>
      </c>
      <c r="D6747">
        <v>1650</v>
      </c>
    </row>
    <row r="6748" spans="1:4" x14ac:dyDescent="0.25">
      <c r="A6748" t="str">
        <f>T("   220850")</f>
        <v xml:space="preserve">   220850</v>
      </c>
      <c r="B6748" t="str">
        <f>T("   Gin et genièvre")</f>
        <v xml:space="preserve">   Gin et genièvre</v>
      </c>
      <c r="C6748">
        <v>5784973</v>
      </c>
      <c r="D6748">
        <v>9395</v>
      </c>
    </row>
    <row r="6749" spans="1:4" x14ac:dyDescent="0.25">
      <c r="A6749" t="str">
        <f>T("   220860")</f>
        <v xml:space="preserve">   220860</v>
      </c>
      <c r="B6749" t="str">
        <f>T("   VODKA")</f>
        <v xml:space="preserve">   VODKA</v>
      </c>
      <c r="C6749">
        <v>812498</v>
      </c>
      <c r="D6749">
        <v>1874</v>
      </c>
    </row>
    <row r="6750" spans="1:4" x14ac:dyDescent="0.25">
      <c r="A6750" t="str">
        <f>T("   240399")</f>
        <v xml:space="preserve">   240399</v>
      </c>
      <c r="B6750" t="s">
        <v>62</v>
      </c>
      <c r="C6750">
        <v>188864</v>
      </c>
      <c r="D6750">
        <v>10</v>
      </c>
    </row>
    <row r="6751" spans="1:4" x14ac:dyDescent="0.25">
      <c r="A6751" t="str">
        <f>T("   250100")</f>
        <v xml:space="preserve">   250100</v>
      </c>
      <c r="B6751" t="s">
        <v>63</v>
      </c>
      <c r="C6751">
        <v>92547492</v>
      </c>
      <c r="D6751">
        <v>1869267</v>
      </c>
    </row>
    <row r="6752" spans="1:4" x14ac:dyDescent="0.25">
      <c r="A6752" t="str">
        <f>T("   252329")</f>
        <v xml:space="preserve">   252329</v>
      </c>
      <c r="B6752" t="str">
        <f>T("   Ciment Portland normal ou modéré (à l'excl. des ciments Portland blancs, même colorés artificiellement)")</f>
        <v xml:space="preserve">   Ciment Portland normal ou modéré (à l'excl. des ciments Portland blancs, même colorés artificiellement)</v>
      </c>
      <c r="C6752">
        <v>320067</v>
      </c>
      <c r="D6752">
        <v>2000</v>
      </c>
    </row>
    <row r="6753" spans="1:4" x14ac:dyDescent="0.25">
      <c r="A6753" t="str">
        <f>T("   271019")</f>
        <v xml:space="preserve">   271019</v>
      </c>
      <c r="B6753" t="str">
        <f>T("   Huiles moyennes et préparations, de pétrole ou de minéraux bitumineux, n.d.a.")</f>
        <v xml:space="preserve">   Huiles moyennes et préparations, de pétrole ou de minéraux bitumineux, n.d.a.</v>
      </c>
      <c r="C6753">
        <v>87270892</v>
      </c>
      <c r="D6753">
        <v>247956</v>
      </c>
    </row>
    <row r="6754" spans="1:4" x14ac:dyDescent="0.25">
      <c r="A6754" t="str">
        <f>T("   291639")</f>
        <v xml:space="preserve">   291639</v>
      </c>
      <c r="B6754" t="s">
        <v>69</v>
      </c>
      <c r="C6754">
        <v>54444680</v>
      </c>
      <c r="D6754">
        <v>10000</v>
      </c>
    </row>
    <row r="6755" spans="1:4" x14ac:dyDescent="0.25">
      <c r="A6755" t="str">
        <f>T("   300220")</f>
        <v xml:space="preserve">   300220</v>
      </c>
      <c r="B6755" t="str">
        <f>T("   Vaccins pour la médecine humaine")</f>
        <v xml:space="preserve">   Vaccins pour la médecine humaine</v>
      </c>
      <c r="C6755">
        <v>17307960</v>
      </c>
      <c r="D6755">
        <v>90</v>
      </c>
    </row>
    <row r="6756" spans="1:4" x14ac:dyDescent="0.25">
      <c r="A6756" t="str">
        <f>T("   300290")</f>
        <v xml:space="preserve">   300290</v>
      </c>
      <c r="B6756" t="str">
        <f>T("   Sang humain; sang animal préparé en vue d'usages thérapeutiques, prophylactiques ou de diagnostic; toxines, cultures de micro-organismes et produits simil. (à l'excl. des levures et des vaccins)")</f>
        <v xml:space="preserve">   Sang humain; sang animal préparé en vue d'usages thérapeutiques, prophylactiques ou de diagnostic; toxines, cultures de micro-organismes et produits simil. (à l'excl. des levures et des vaccins)</v>
      </c>
      <c r="C6756">
        <v>169466814</v>
      </c>
      <c r="D6756">
        <v>3129</v>
      </c>
    </row>
    <row r="6757" spans="1:4" x14ac:dyDescent="0.25">
      <c r="A6757" t="str">
        <f>T("   300310")</f>
        <v xml:space="preserve">   300310</v>
      </c>
      <c r="B6757" t="str">
        <f>T("   Médicaments contenant des pénicillines ou des dérivés de ces produits, à structure d'acide pénicillanique, ou des streptomycines ou des dérivés de ces produits, non présentés sous forme de doses, ni conditionnés pour la vente au détail")</f>
        <v xml:space="preserve">   Médicaments contenant des pénicillines ou des dérivés de ces produits, à structure d'acide pénicillanique, ou des streptomycines ou des dérivés de ces produits, non présentés sous forme de doses, ni conditionnés pour la vente au détail</v>
      </c>
      <c r="C6757">
        <v>3215566</v>
      </c>
      <c r="D6757">
        <v>258</v>
      </c>
    </row>
    <row r="6758" spans="1:4" x14ac:dyDescent="0.25">
      <c r="A6758" t="str">
        <f>T("   300390")</f>
        <v xml:space="preserve">   300390</v>
      </c>
      <c r="B6758" t="s">
        <v>75</v>
      </c>
      <c r="C6758">
        <v>63528464</v>
      </c>
      <c r="D6758">
        <v>12332.5</v>
      </c>
    </row>
    <row r="6759" spans="1:4" x14ac:dyDescent="0.25">
      <c r="A6759" t="str">
        <f>T("   300439")</f>
        <v xml:space="preserve">   300439</v>
      </c>
      <c r="B6759" t="s">
        <v>78</v>
      </c>
      <c r="C6759">
        <v>15651270</v>
      </c>
      <c r="D6759">
        <v>1975</v>
      </c>
    </row>
    <row r="6760" spans="1:4" x14ac:dyDescent="0.25">
      <c r="A6760" t="str">
        <f>T("   300490")</f>
        <v xml:space="preserve">   300490</v>
      </c>
      <c r="B6760" t="s">
        <v>80</v>
      </c>
      <c r="C6760">
        <v>1773630326</v>
      </c>
      <c r="D6760">
        <v>159764.35999999999</v>
      </c>
    </row>
    <row r="6761" spans="1:4" x14ac:dyDescent="0.25">
      <c r="A6761" t="str">
        <f>T("   300510")</f>
        <v xml:space="preserve">   300510</v>
      </c>
      <c r="B6761" t="str">
        <f>T("   Pansements adhésifs et autres articles ayant une couche adhésive, imprégnés ou recouverts de substances pharmaceutiques ou conditionnés pour la vente au détail à des fins médicales, chirurgicales, dentaires ou vétérinaires")</f>
        <v xml:space="preserve">   Pansements adhésifs et autres articles ayant une couche adhésive, imprégnés ou recouverts de substances pharmaceutiques ou conditionnés pour la vente au détail à des fins médicales, chirurgicales, dentaires ou vétérinaires</v>
      </c>
      <c r="C6761">
        <v>44648574</v>
      </c>
      <c r="D6761">
        <v>28540</v>
      </c>
    </row>
    <row r="6762" spans="1:4" x14ac:dyDescent="0.25">
      <c r="A6762" t="str">
        <f>T("   300610")</f>
        <v xml:space="preserve">   300610</v>
      </c>
      <c r="B6762" t="s">
        <v>82</v>
      </c>
      <c r="C6762">
        <v>4280139</v>
      </c>
      <c r="D6762">
        <v>373</v>
      </c>
    </row>
    <row r="6763" spans="1:4" x14ac:dyDescent="0.25">
      <c r="A6763" t="str">
        <f>T("   310590")</f>
        <v xml:space="preserve">   310590</v>
      </c>
      <c r="B6763" t="s">
        <v>85</v>
      </c>
      <c r="C6763">
        <v>95871</v>
      </c>
      <c r="D6763">
        <v>2000</v>
      </c>
    </row>
    <row r="6764" spans="1:4" x14ac:dyDescent="0.25">
      <c r="A6764" t="str">
        <f>T("   330210")</f>
        <v xml:space="preserve">   330210</v>
      </c>
      <c r="B6764" t="str">
        <f>T("   Mélanges de substances odoriférantes et mélanges, y.c. les solutions alcooliques, à base d'une ou de plusieurs de ces substances, des types utilisés comme matières de base pour les industries des produits alimentaires et des boissons")</f>
        <v xml:space="preserve">   Mélanges de substances odoriférantes et mélanges, y.c. les solutions alcooliques, à base d'une ou de plusieurs de ces substances, des types utilisés comme matières de base pour les industries des produits alimentaires et des boissons</v>
      </c>
      <c r="C6764">
        <v>3263511</v>
      </c>
      <c r="D6764">
        <v>275</v>
      </c>
    </row>
    <row r="6765" spans="1:4" x14ac:dyDescent="0.25">
      <c r="A6765" t="str">
        <f>T("   330491")</f>
        <v xml:space="preserve">   330491</v>
      </c>
      <c r="B6765" t="str">
        <f>T("   Poudres pour le maquillage ou l'entretien ou les soins de la peau, y.c. les poudres pour bébés et les poudres compactes (à l'excl. des médicaments)")</f>
        <v xml:space="preserve">   Poudres pour le maquillage ou l'entretien ou les soins de la peau, y.c. les poudres pour bébés et les poudres compactes (à l'excl. des médicaments)</v>
      </c>
      <c r="C6765">
        <v>238745</v>
      </c>
      <c r="D6765">
        <v>714</v>
      </c>
    </row>
    <row r="6766" spans="1:4" x14ac:dyDescent="0.25">
      <c r="A6766" t="str">
        <f>T("   330590")</f>
        <v xml:space="preserve">   330590</v>
      </c>
      <c r="B6766" t="str">
        <f>T("   PRÉPARATIONS CAPILLAIRES (À L'EXCL. DES SHAMPOOINGS, DES LAQUES POUR CHEVEUX ET DES PRÉPARATIONS POUR L'ONDULATION OU LE DÉFRISAGE PERMANENTS)")</f>
        <v xml:space="preserve">   PRÉPARATIONS CAPILLAIRES (À L'EXCL. DES SHAMPOOINGS, DES LAQUES POUR CHEVEUX ET DES PRÉPARATIONS POUR L'ONDULATION OU LE DÉFRISAGE PERMANENTS)</v>
      </c>
      <c r="C6766">
        <v>155309</v>
      </c>
      <c r="D6766">
        <v>100</v>
      </c>
    </row>
    <row r="6767" spans="1:4" x14ac:dyDescent="0.25">
      <c r="A6767" t="str">
        <f>T("   330610")</f>
        <v xml:space="preserve">   330610</v>
      </c>
      <c r="B6767" t="str">
        <f>T("   Dentifrices, préparés, même des types utilisés par les dentistes")</f>
        <v xml:space="preserve">   Dentifrices, préparés, même des types utilisés par les dentistes</v>
      </c>
      <c r="C6767">
        <v>16800841</v>
      </c>
      <c r="D6767">
        <v>40620</v>
      </c>
    </row>
    <row r="6768" spans="1:4" x14ac:dyDescent="0.25">
      <c r="A6768" t="str">
        <f>T("   330741")</f>
        <v xml:space="preserve">   330741</v>
      </c>
      <c r="B6768" t="str">
        <f>T("   'Agarbatti' et autres préparations odoriférantes agissant par combustion")</f>
        <v xml:space="preserve">   'Agarbatti' et autres préparations odoriférantes agissant par combustion</v>
      </c>
      <c r="C6768">
        <v>1105222</v>
      </c>
      <c r="D6768">
        <v>973</v>
      </c>
    </row>
    <row r="6769" spans="1:4" x14ac:dyDescent="0.25">
      <c r="A6769" t="str">
        <f>T("   330749")</f>
        <v xml:space="preserve">   330749</v>
      </c>
      <c r="B6769" t="str">
        <f>T("   Préparations pour parfumer ou pour désodoriser les locaux, y.c. les préparations odoriférantes pour cérémonies religieuses (à l'excl. de l'agarbatti et des autres préparations odoriférantes agissant par combustion)")</f>
        <v xml:space="preserve">   Préparations pour parfumer ou pour désodoriser les locaux, y.c. les préparations odoriférantes pour cérémonies religieuses (à l'excl. de l'agarbatti et des autres préparations odoriférantes agissant par combustion)</v>
      </c>
      <c r="C6769">
        <v>2720791</v>
      </c>
      <c r="D6769">
        <v>14620</v>
      </c>
    </row>
    <row r="6770" spans="1:4" x14ac:dyDescent="0.25">
      <c r="A6770" t="str">
        <f>T("   340111")</f>
        <v xml:space="preserve">   340111</v>
      </c>
      <c r="B6770" t="s">
        <v>102</v>
      </c>
      <c r="C6770">
        <v>8671</v>
      </c>
      <c r="D6770">
        <v>22</v>
      </c>
    </row>
    <row r="6771" spans="1:4" x14ac:dyDescent="0.25">
      <c r="A6771" t="str">
        <f>T("   340290")</f>
        <v xml:space="preserve">   340290</v>
      </c>
      <c r="B6771" t="s">
        <v>105</v>
      </c>
      <c r="C6771">
        <v>600203</v>
      </c>
      <c r="D6771">
        <v>4650</v>
      </c>
    </row>
    <row r="6772" spans="1:4" x14ac:dyDescent="0.25">
      <c r="A6772" t="str">
        <f>T("   360500")</f>
        <v xml:space="preserve">   360500</v>
      </c>
      <c r="B6772" t="str">
        <f>T("   Allumettes (autres que les articles de pyrotechnie du n° 3604)")</f>
        <v xml:space="preserve">   Allumettes (autres que les articles de pyrotechnie du n° 3604)</v>
      </c>
      <c r="C6772">
        <v>111948881</v>
      </c>
      <c r="D6772">
        <v>192889</v>
      </c>
    </row>
    <row r="6773" spans="1:4" x14ac:dyDescent="0.25">
      <c r="A6773" t="str">
        <f>T("   380290")</f>
        <v xml:space="preserve">   380290</v>
      </c>
      <c r="B6773" t="str">
        <f>T("   Kieselguhr activé, autres matières minérales naturelles activées et noirs d'origine animale, y.c. le noir animal épuisé (à l'excl. des charbons activés, des produits chimiques activés ainsi que de la diatomite calcinée sans agents frittants)")</f>
        <v xml:space="preserve">   Kieselguhr activé, autres matières minérales naturelles activées et noirs d'origine animale, y.c. le noir animal épuisé (à l'excl. des charbons activés, des produits chimiques activés ainsi que de la diatomite calcinée sans agents frittants)</v>
      </c>
      <c r="C6773">
        <v>183369</v>
      </c>
      <c r="D6773">
        <v>20</v>
      </c>
    </row>
    <row r="6774" spans="1:4" x14ac:dyDescent="0.25">
      <c r="A6774" t="str">
        <f>T("   381090")</f>
        <v xml:space="preserve">   381090</v>
      </c>
      <c r="B6774" t="s">
        <v>123</v>
      </c>
      <c r="C6774">
        <v>637344</v>
      </c>
      <c r="D6774">
        <v>500</v>
      </c>
    </row>
    <row r="6775" spans="1:4" x14ac:dyDescent="0.25">
      <c r="A6775" t="str">
        <f>T("   382200")</f>
        <v xml:space="preserve">   382200</v>
      </c>
      <c r="B6775" t="s">
        <v>126</v>
      </c>
      <c r="C6775">
        <v>25283448</v>
      </c>
      <c r="D6775">
        <v>2788</v>
      </c>
    </row>
    <row r="6776" spans="1:4" x14ac:dyDescent="0.25">
      <c r="A6776" t="str">
        <f>T("   391740")</f>
        <v xml:space="preserve">   391740</v>
      </c>
      <c r="B6776" t="str">
        <f>T("   Accessoires pour tubes ou tuyaux [joints, coudes, raccords, par exemple], en matières plastiques")</f>
        <v xml:space="preserve">   Accessoires pour tubes ou tuyaux [joints, coudes, raccords, par exemple], en matières plastiques</v>
      </c>
      <c r="C6776">
        <v>225295</v>
      </c>
      <c r="D6776">
        <v>118</v>
      </c>
    </row>
    <row r="6777" spans="1:4" x14ac:dyDescent="0.25">
      <c r="A6777" t="str">
        <f>T("   392010")</f>
        <v xml:space="preserve">   392010</v>
      </c>
      <c r="B6777" t="s">
        <v>134</v>
      </c>
      <c r="C6777">
        <v>1431109</v>
      </c>
      <c r="D6777">
        <v>846</v>
      </c>
    </row>
    <row r="6778" spans="1:4" x14ac:dyDescent="0.25">
      <c r="A6778" t="str">
        <f>T("   392020")</f>
        <v xml:space="preserve">   392020</v>
      </c>
      <c r="B6778" t="s">
        <v>135</v>
      </c>
      <c r="C6778">
        <v>11140825</v>
      </c>
      <c r="D6778">
        <v>4761</v>
      </c>
    </row>
    <row r="6779" spans="1:4" x14ac:dyDescent="0.25">
      <c r="A6779" t="str">
        <f>T("   392190")</f>
        <v xml:space="preserve">   392190</v>
      </c>
      <c r="B6779" t="s">
        <v>149</v>
      </c>
      <c r="C6779">
        <v>8405872</v>
      </c>
      <c r="D6779">
        <v>5782</v>
      </c>
    </row>
    <row r="6780" spans="1:4" x14ac:dyDescent="0.25">
      <c r="A6780" t="str">
        <f>T("   392220")</f>
        <v xml:space="preserve">   392220</v>
      </c>
      <c r="B6780" t="str">
        <f>T("   Sièges et couvercles de cuvettes d'aisance, en matières plastiques")</f>
        <v xml:space="preserve">   Sièges et couvercles de cuvettes d'aisance, en matières plastiques</v>
      </c>
      <c r="C6780">
        <v>1011429</v>
      </c>
      <c r="D6780">
        <v>4549</v>
      </c>
    </row>
    <row r="6781" spans="1:4" x14ac:dyDescent="0.25">
      <c r="A6781" t="str">
        <f>T("   392310")</f>
        <v xml:space="preserve">   392310</v>
      </c>
      <c r="B6781" t="str">
        <f>T("   Boîtes, caisses, casiers et articles simil. pour le transport ou l'emballage, en matières plastiques")</f>
        <v xml:space="preserve">   Boîtes, caisses, casiers et articles simil. pour le transport ou l'emballage, en matières plastiques</v>
      </c>
      <c r="C6781">
        <v>4929</v>
      </c>
      <c r="D6781">
        <v>4</v>
      </c>
    </row>
    <row r="6782" spans="1:4" x14ac:dyDescent="0.25">
      <c r="A6782" t="str">
        <f>T("   392329")</f>
        <v xml:space="preserve">   392329</v>
      </c>
      <c r="B6782" t="str">
        <f>T("   Sacs, sachets, pochettes et cornets, en matières plastiques (autres que les polymères de l'éthylène)")</f>
        <v xml:space="preserve">   Sacs, sachets, pochettes et cornets, en matières plastiques (autres que les polymères de l'éthylène)</v>
      </c>
      <c r="C6782">
        <v>479350</v>
      </c>
      <c r="D6782">
        <v>923</v>
      </c>
    </row>
    <row r="6783" spans="1:4" x14ac:dyDescent="0.25">
      <c r="A6783" t="str">
        <f>T("   392330")</f>
        <v xml:space="preserve">   392330</v>
      </c>
      <c r="B6783" t="str">
        <f>T("   Bonbonnes, bouteilles, flacons et articles simil. pour le transport ou l'emballage, en matières plastiques")</f>
        <v xml:space="preserve">   Bonbonnes, bouteilles, flacons et articles simil. pour le transport ou l'emballage, en matières plastiques</v>
      </c>
      <c r="C6783">
        <v>36365409</v>
      </c>
      <c r="D6783">
        <v>32662</v>
      </c>
    </row>
    <row r="6784" spans="1:4" x14ac:dyDescent="0.25">
      <c r="A6784" t="str">
        <f>T("   392350")</f>
        <v xml:space="preserve">   392350</v>
      </c>
      <c r="B6784" t="str">
        <f>T("   Bouchons, couvercles, capsules et autres dispositifs de fermeture, en matières plastiques")</f>
        <v xml:space="preserve">   Bouchons, couvercles, capsules et autres dispositifs de fermeture, en matières plastiques</v>
      </c>
      <c r="C6784">
        <v>8658020</v>
      </c>
      <c r="D6784">
        <v>29486</v>
      </c>
    </row>
    <row r="6785" spans="1:4" x14ac:dyDescent="0.25">
      <c r="A6785" t="str">
        <f>T("   392390")</f>
        <v xml:space="preserve">   392390</v>
      </c>
      <c r="B6785" t="s">
        <v>150</v>
      </c>
      <c r="C6785">
        <v>11648205</v>
      </c>
      <c r="D6785">
        <v>4150</v>
      </c>
    </row>
    <row r="6786" spans="1:4" x14ac:dyDescent="0.25">
      <c r="A6786" t="str">
        <f>T("   392410")</f>
        <v xml:space="preserve">   392410</v>
      </c>
      <c r="B6786" t="str">
        <f>T("   Vaisselle et autres articles pour le service de la table ou de la cuisine, en matières plastiques")</f>
        <v xml:space="preserve">   Vaisselle et autres articles pour le service de la table ou de la cuisine, en matières plastiques</v>
      </c>
      <c r="C6786">
        <v>2561420</v>
      </c>
      <c r="D6786">
        <v>5648</v>
      </c>
    </row>
    <row r="6787" spans="1:4" x14ac:dyDescent="0.25">
      <c r="A6787" t="str">
        <f>T("   392490")</f>
        <v xml:space="preserve">   392490</v>
      </c>
      <c r="B6787" t="s">
        <v>151</v>
      </c>
      <c r="C6787">
        <v>649400</v>
      </c>
      <c r="D6787">
        <v>4762</v>
      </c>
    </row>
    <row r="6788" spans="1:4" x14ac:dyDescent="0.25">
      <c r="A6788" t="str">
        <f>T("   392690")</f>
        <v xml:space="preserve">   392690</v>
      </c>
      <c r="B6788" t="str">
        <f>T("   Ouvrages en matières plastiques et ouvrages en autres matières du n° 3901 à 3914, n.d.a.")</f>
        <v xml:space="preserve">   Ouvrages en matières plastiques et ouvrages en autres matières du n° 3901 à 3914, n.d.a.</v>
      </c>
      <c r="C6788">
        <v>4866329</v>
      </c>
      <c r="D6788">
        <v>4724</v>
      </c>
    </row>
    <row r="6789" spans="1:4" x14ac:dyDescent="0.25">
      <c r="A6789" t="str">
        <f>T("   400911")</f>
        <v xml:space="preserve">   400911</v>
      </c>
      <c r="B6789" t="str">
        <f>T("   Tubes et tuyaux en caoutchouc vulcanisé non durci, non renforcés à l'aide d'autres matières ni autrement associés à d'autres matières, sans accessoires")</f>
        <v xml:space="preserve">   Tubes et tuyaux en caoutchouc vulcanisé non durci, non renforcés à l'aide d'autres matières ni autrement associés à d'autres matières, sans accessoires</v>
      </c>
      <c r="C6789">
        <v>225235</v>
      </c>
      <c r="D6789">
        <v>7</v>
      </c>
    </row>
    <row r="6790" spans="1:4" x14ac:dyDescent="0.25">
      <c r="A6790" t="str">
        <f>T("   401039")</f>
        <v xml:space="preserve">   401039</v>
      </c>
      <c r="B6790" t="s">
        <v>157</v>
      </c>
      <c r="C6790">
        <v>164933</v>
      </c>
      <c r="D6790">
        <v>880</v>
      </c>
    </row>
    <row r="6791" spans="1:4" x14ac:dyDescent="0.25">
      <c r="A6791" t="str">
        <f>T("   401120")</f>
        <v xml:space="preserve">   401120</v>
      </c>
      <c r="B6791"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6791">
        <v>6004900</v>
      </c>
      <c r="D6791">
        <v>9726</v>
      </c>
    </row>
    <row r="6792" spans="1:4" x14ac:dyDescent="0.25">
      <c r="A6792" t="str">
        <f>T("   401161")</f>
        <v xml:space="preserve">   401161</v>
      </c>
      <c r="B6792" t="str">
        <f>T("   Pneumatiques neufs, en caoutchouc, à crampons, à chevrons ou simil., des types utilisés pour les véhicules et engins agricoles et forestiers")</f>
        <v xml:space="preserve">   Pneumatiques neufs, en caoutchouc, à crampons, à chevrons ou simil., des types utilisés pour les véhicules et engins agricoles et forestiers</v>
      </c>
      <c r="C6792">
        <v>23831801</v>
      </c>
      <c r="D6792">
        <v>5238</v>
      </c>
    </row>
    <row r="6793" spans="1:4" x14ac:dyDescent="0.25">
      <c r="A6793" t="str">
        <f>T("   401192")</f>
        <v xml:space="preserve">   401192</v>
      </c>
      <c r="B6793" t="str">
        <f>T("   Pneumatiques neufs, en caoutchouc, des types utilisés pour les véhicules et engins agricoles et forestiers (à l'excl. des pneumatiques à crampons, à chevrons ou simil.)")</f>
        <v xml:space="preserve">   Pneumatiques neufs, en caoutchouc, des types utilisés pour les véhicules et engins agricoles et forestiers (à l'excl. des pneumatiques à crampons, à chevrons ou simil.)</v>
      </c>
      <c r="C6793">
        <v>753059</v>
      </c>
      <c r="D6793">
        <v>112</v>
      </c>
    </row>
    <row r="6794" spans="1:4" x14ac:dyDescent="0.25">
      <c r="A6794" t="str">
        <f>T("   401410")</f>
        <v xml:space="preserve">   401410</v>
      </c>
      <c r="B6794" t="str">
        <f>T("   Préservatifs en caoutchouc vulcanisé non durci")</f>
        <v xml:space="preserve">   Préservatifs en caoutchouc vulcanisé non durci</v>
      </c>
      <c r="C6794">
        <v>173151246</v>
      </c>
      <c r="D6794">
        <v>37659</v>
      </c>
    </row>
    <row r="6795" spans="1:4" x14ac:dyDescent="0.25">
      <c r="A6795" t="str">
        <f>T("   420229")</f>
        <v xml:space="preserve">   420229</v>
      </c>
      <c r="B6795"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6795">
        <v>1500366</v>
      </c>
      <c r="D6795">
        <v>4000</v>
      </c>
    </row>
    <row r="6796" spans="1:4" x14ac:dyDescent="0.25">
      <c r="A6796" t="str">
        <f>T("   420299")</f>
        <v xml:space="preserve">   420299</v>
      </c>
      <c r="B6796" t="s">
        <v>165</v>
      </c>
      <c r="C6796">
        <v>11580137</v>
      </c>
      <c r="D6796">
        <v>36500</v>
      </c>
    </row>
    <row r="6797" spans="1:4" x14ac:dyDescent="0.25">
      <c r="A6797" t="str">
        <f>T("   480255")</f>
        <v xml:space="preserve">   480255</v>
      </c>
      <c r="B6797" t="s">
        <v>193</v>
      </c>
      <c r="C6797">
        <v>11859101</v>
      </c>
      <c r="D6797">
        <v>20148</v>
      </c>
    </row>
    <row r="6798" spans="1:4" x14ac:dyDescent="0.25">
      <c r="A6798" t="str">
        <f>T("   480431")</f>
        <v xml:space="preserve">   480431</v>
      </c>
      <c r="B6798" t="s">
        <v>199</v>
      </c>
      <c r="C6798">
        <v>15303728</v>
      </c>
      <c r="D6798">
        <v>15000</v>
      </c>
    </row>
    <row r="6799" spans="1:4" x14ac:dyDescent="0.25">
      <c r="A6799" t="str">
        <f>T("   480459")</f>
        <v xml:space="preserve">   480459</v>
      </c>
      <c r="B6799" t="s">
        <v>202</v>
      </c>
      <c r="C6799">
        <v>3829829</v>
      </c>
      <c r="D6799">
        <v>13105</v>
      </c>
    </row>
    <row r="6800" spans="1:4" x14ac:dyDescent="0.25">
      <c r="A6800" t="str">
        <f>T("   481720")</f>
        <v xml:space="preserve">   481720</v>
      </c>
      <c r="B6800" t="str">
        <f>T("   Cartes-lettres, cartes postales non illustrées et cartes pour correspondance, en papier ou en carton (à l'excl. des articles comportant un timbre-poste imprimé)")</f>
        <v xml:space="preserve">   Cartes-lettres, cartes postales non illustrées et cartes pour correspondance, en papier ou en carton (à l'excl. des articles comportant un timbre-poste imprimé)</v>
      </c>
      <c r="C6800">
        <v>111513</v>
      </c>
      <c r="D6800">
        <v>193</v>
      </c>
    </row>
    <row r="6801" spans="1:4" x14ac:dyDescent="0.25">
      <c r="A6801" t="str">
        <f>T("   481820")</f>
        <v xml:space="preserve">   481820</v>
      </c>
      <c r="B6801" t="str">
        <f>T("   Mouchoirs, serviettes à démaquiller et essuie-mains, en pâte à papier, papier, ouate de cellulose ou nappes de fibres de cellulose")</f>
        <v xml:space="preserve">   Mouchoirs, serviettes à démaquiller et essuie-mains, en pâte à papier, papier, ouate de cellulose ou nappes de fibres de cellulose</v>
      </c>
      <c r="C6801">
        <v>61660</v>
      </c>
      <c r="D6801">
        <v>903</v>
      </c>
    </row>
    <row r="6802" spans="1:4" x14ac:dyDescent="0.25">
      <c r="A6802" t="str">
        <f>T("   481910")</f>
        <v xml:space="preserve">   481910</v>
      </c>
      <c r="B6802" t="str">
        <f>T("   Boîtes et caisses en papier ou en carton ondulé")</f>
        <v xml:space="preserve">   Boîtes et caisses en papier ou en carton ondulé</v>
      </c>
      <c r="C6802">
        <v>17565</v>
      </c>
      <c r="D6802">
        <v>4053</v>
      </c>
    </row>
    <row r="6803" spans="1:4" x14ac:dyDescent="0.25">
      <c r="A6803" t="str">
        <f>T("   482030")</f>
        <v xml:space="preserve">   482030</v>
      </c>
      <c r="B6803" t="str">
        <f>T("   Classeurs, reliures (autres que les couvertures pour livres), chemises et couvertures à dossiers, en papier ou en carton")</f>
        <v xml:space="preserve">   Classeurs, reliures (autres que les couvertures pour livres), chemises et couvertures à dossiers, en papier ou en carton</v>
      </c>
      <c r="C6803">
        <v>15916433</v>
      </c>
      <c r="D6803">
        <v>22976.080000000002</v>
      </c>
    </row>
    <row r="6804" spans="1:4" x14ac:dyDescent="0.25">
      <c r="A6804" t="str">
        <f>T("   482110")</f>
        <v xml:space="preserve">   482110</v>
      </c>
      <c r="B6804" t="str">
        <f>T("   ÉTIQUETTES DE TOUS GENRES, EN PAPIER OU EN CARTON, IMPRIMÉES")</f>
        <v xml:space="preserve">   ÉTIQUETTES DE TOUS GENRES, EN PAPIER OU EN CARTON, IMPRIMÉES</v>
      </c>
      <c r="C6804">
        <v>11645799</v>
      </c>
      <c r="D6804">
        <v>2600</v>
      </c>
    </row>
    <row r="6805" spans="1:4" x14ac:dyDescent="0.25">
      <c r="A6805" t="str">
        <f>T("   482190")</f>
        <v xml:space="preserve">   482190</v>
      </c>
      <c r="B6805" t="str">
        <f>T("   ÉTIQUETTES DE TOUS GENRES, EN PAPIER OU EN CARTON, NON-IMPRIMÉES")</f>
        <v xml:space="preserve">   ÉTIQUETTES DE TOUS GENRES, EN PAPIER OU EN CARTON, NON-IMPRIMÉES</v>
      </c>
      <c r="C6805">
        <v>185508</v>
      </c>
      <c r="D6805">
        <v>200</v>
      </c>
    </row>
    <row r="6806" spans="1:4" x14ac:dyDescent="0.25">
      <c r="A6806" t="str">
        <f>T("   490199")</f>
        <v xml:space="preserve">   490199</v>
      </c>
      <c r="B6806"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6806">
        <v>1545089</v>
      </c>
      <c r="D6806">
        <v>1700</v>
      </c>
    </row>
    <row r="6807" spans="1:4" x14ac:dyDescent="0.25">
      <c r="A6807" t="str">
        <f>T("   491000")</f>
        <v xml:space="preserve">   491000</v>
      </c>
      <c r="B6807" t="str">
        <f>T("   Calendriers de tous genres, imprimés, y.c. les blocs de calendriers à effeuiller")</f>
        <v xml:space="preserve">   Calendriers de tous genres, imprimés, y.c. les blocs de calendriers à effeuiller</v>
      </c>
      <c r="C6807">
        <v>196054</v>
      </c>
      <c r="D6807">
        <v>60</v>
      </c>
    </row>
    <row r="6808" spans="1:4" x14ac:dyDescent="0.25">
      <c r="A6808" t="str">
        <f>T("   491110")</f>
        <v xml:space="preserve">   491110</v>
      </c>
      <c r="B6808" t="str">
        <f>T("   Imprimés publicitaires, catalogues commerciaux et simil.")</f>
        <v xml:space="preserve">   Imprimés publicitaires, catalogues commerciaux et simil.</v>
      </c>
      <c r="C6808">
        <v>350384</v>
      </c>
      <c r="D6808">
        <v>987</v>
      </c>
    </row>
    <row r="6809" spans="1:4" x14ac:dyDescent="0.25">
      <c r="A6809" t="str">
        <f>T("   491191")</f>
        <v xml:space="preserve">   491191</v>
      </c>
      <c r="B6809" t="str">
        <f>T("   Images, gravures et photographies, n.d.a.")</f>
        <v xml:space="preserve">   Images, gravures et photographies, n.d.a.</v>
      </c>
      <c r="C6809">
        <v>38085</v>
      </c>
      <c r="D6809">
        <v>33</v>
      </c>
    </row>
    <row r="6810" spans="1:4" x14ac:dyDescent="0.25">
      <c r="A6810" t="str">
        <f>T("   491199")</f>
        <v xml:space="preserve">   491199</v>
      </c>
      <c r="B6810" t="str">
        <f>T("   Imprimés, n.d.a.")</f>
        <v xml:space="preserve">   Imprimés, n.d.a.</v>
      </c>
      <c r="C6810">
        <v>122889804</v>
      </c>
      <c r="D6810">
        <v>12780</v>
      </c>
    </row>
    <row r="6811" spans="1:4" x14ac:dyDescent="0.25">
      <c r="A6811" t="str">
        <f>T("   520852")</f>
        <v xml:space="preserve">   520852</v>
      </c>
      <c r="B6811" t="str">
        <f>T("   Tissus de coton, imprimés, à armure toile, contenant &gt;= 85% en poids de coton, d'un poids &gt; 100 g/m² mais &lt;= 200 g/m²")</f>
        <v xml:space="preserve">   Tissus de coton, imprimés, à armure toile, contenant &gt;= 85% en poids de coton, d'un poids &gt; 100 g/m² mais &lt;= 200 g/m²</v>
      </c>
      <c r="C6811">
        <v>85482511</v>
      </c>
      <c r="D6811">
        <v>85009</v>
      </c>
    </row>
    <row r="6812" spans="1:4" x14ac:dyDescent="0.25">
      <c r="A6812" t="str">
        <f>T("   551219")</f>
        <v xml:space="preserve">   551219</v>
      </c>
      <c r="B6812" t="str">
        <f>T("   Tissus, teints, imprimés ou en fils de diverses couleurs, de fibres discontinues de polyester, contenant &gt;= 85% en poids de ces fibres")</f>
        <v xml:space="preserve">   Tissus, teints, imprimés ou en fils de diverses couleurs, de fibres discontinues de polyester, contenant &gt;= 85% en poids de ces fibres</v>
      </c>
      <c r="C6812">
        <v>119637372</v>
      </c>
      <c r="D6812">
        <v>125834</v>
      </c>
    </row>
    <row r="6813" spans="1:4" x14ac:dyDescent="0.25">
      <c r="A6813" t="str">
        <f>T("   551329")</f>
        <v xml:space="preserve">   551329</v>
      </c>
      <c r="B6813" t="str">
        <f>T("   Tissus, teints, de fibres synthétiques discontinues, contenant en prédominance, mais &lt; 85% en poids de ces fibres, mélangés principalement ou uniquement avec du coton, d'un poids &lt;= 170 g/m² (à l'excl. des tissus de fibres discontinues de polyester)")</f>
        <v xml:space="preserve">   Tissus, teints, de fibres synthétiques discontinues, contenant en prédominance, mais &lt; 85% en poids de ces fibres, mélangés principalement ou uniquement avec du coton, d'un poids &lt;= 170 g/m² (à l'excl. des tissus de fibres discontinues de polyester)</v>
      </c>
      <c r="C6813">
        <v>16175974</v>
      </c>
      <c r="D6813">
        <v>13002</v>
      </c>
    </row>
    <row r="6814" spans="1:4" x14ac:dyDescent="0.25">
      <c r="A6814" t="str">
        <f>T("   551343")</f>
        <v xml:space="preserve">   551343</v>
      </c>
      <c r="B6814" t="s">
        <v>235</v>
      </c>
      <c r="C6814">
        <v>15000000</v>
      </c>
      <c r="D6814">
        <v>26322</v>
      </c>
    </row>
    <row r="6815" spans="1:4" x14ac:dyDescent="0.25">
      <c r="A6815" t="str">
        <f>T("   570241")</f>
        <v xml:space="preserve">   570241</v>
      </c>
      <c r="B6815" t="str">
        <f>T("   TAPIS ET AUTRES REVÊTEMENTS DE SOL, DE LAINE OU DE POILS FINS, TISSÉS, NON-TOUFFETÉS NI FLOQUÉS, À VELOURS, CONFECTIONNÉS (À L'EXCL. DES TAPIS DITS 'KELIM', 'KILIM', 'SCHUMACKS', 'SOUMAK' OU 'KARAMANIE' ET DES TAPIS SIMIL. TISSÉS À LA MAIN)")</f>
        <v xml:space="preserve">   TAPIS ET AUTRES REVÊTEMENTS DE SOL, DE LAINE OU DE POILS FINS, TISSÉS, NON-TOUFFETÉS NI FLOQUÉS, À VELOURS, CONFECTIONNÉS (À L'EXCL. DES TAPIS DITS 'KELIM', 'KILIM', 'SCHUMACKS', 'SOUMAK' OU 'KARAMANIE' ET DES TAPIS SIMIL. TISSÉS À LA MAIN)</v>
      </c>
      <c r="C6815">
        <v>390296</v>
      </c>
      <c r="D6815">
        <v>1800</v>
      </c>
    </row>
    <row r="6816" spans="1:4" x14ac:dyDescent="0.25">
      <c r="A6816" t="str">
        <f>T("   591190")</f>
        <v xml:space="preserve">   591190</v>
      </c>
      <c r="B6816" t="str">
        <f>T("   Produits et articles textiles pour usages techniques, en matières textiles, visés à la note 7 du présent chapitre, n.d.a.")</f>
        <v xml:space="preserve">   Produits et articles textiles pour usages techniques, en matières textiles, visés à la note 7 du présent chapitre, n.d.a.</v>
      </c>
      <c r="C6816">
        <v>723004</v>
      </c>
      <c r="D6816">
        <v>22</v>
      </c>
    </row>
    <row r="6817" spans="1:4" x14ac:dyDescent="0.25">
      <c r="A6817" t="str">
        <f>T("   610690")</f>
        <v xml:space="preserve">   610690</v>
      </c>
      <c r="B6817" t="str">
        <f>T("   Chemisiers, blouses, blouses-chemisiers et chemisettes, en bonneterie, de matières textiles, pour femmes ou fillettes (sauf de coton, fibres synthétiques ou artificielles et sauf T-shirts et gilets de corps)")</f>
        <v xml:space="preserve">   Chemisiers, blouses, blouses-chemisiers et chemisettes, en bonneterie, de matières textiles, pour femmes ou fillettes (sauf de coton, fibres synthétiques ou artificielles et sauf T-shirts et gilets de corps)</v>
      </c>
      <c r="C6817">
        <v>814895</v>
      </c>
      <c r="D6817">
        <v>1400</v>
      </c>
    </row>
    <row r="6818" spans="1:4" x14ac:dyDescent="0.25">
      <c r="A6818" t="str">
        <f>T("   610990")</f>
        <v xml:space="preserve">   610990</v>
      </c>
      <c r="B6818" t="str">
        <f>T("   T-shirts et maillots de corps, en bonneterie, de matières textiles (sauf de coton)")</f>
        <v xml:space="preserve">   T-shirts et maillots de corps, en bonneterie, de matières textiles (sauf de coton)</v>
      </c>
      <c r="C6818">
        <v>14031048</v>
      </c>
      <c r="D6818">
        <v>10029</v>
      </c>
    </row>
    <row r="6819" spans="1:4" x14ac:dyDescent="0.25">
      <c r="A6819" t="str">
        <f>T("   611490")</f>
        <v xml:space="preserve">   611490</v>
      </c>
      <c r="B6819" t="str">
        <f>T("   Vêtements spéciaux destinés à des fins professionnelles, sportives ou autres n.d.a., en bonneterie, de matières textiles (sauf de laine, poils fins, coton, fibres synthétiques ou artificielles)")</f>
        <v xml:space="preserve">   Vêtements spéciaux destinés à des fins professionnelles, sportives ou autres n.d.a., en bonneterie, de matières textiles (sauf de laine, poils fins, coton, fibres synthétiques ou artificielles)</v>
      </c>
      <c r="C6819">
        <v>13895530</v>
      </c>
      <c r="D6819">
        <v>30368</v>
      </c>
    </row>
    <row r="6820" spans="1:4" x14ac:dyDescent="0.25">
      <c r="A6820" t="str">
        <f>T("   620349")</f>
        <v xml:space="preserve">   620349</v>
      </c>
      <c r="B6820" t="s">
        <v>266</v>
      </c>
      <c r="C6820">
        <v>7258000</v>
      </c>
      <c r="D6820">
        <v>9533</v>
      </c>
    </row>
    <row r="6821" spans="1:4" x14ac:dyDescent="0.25">
      <c r="A6821" t="str">
        <f>T("   621040")</f>
        <v xml:space="preserve">   621040</v>
      </c>
      <c r="B6821" t="s">
        <v>271</v>
      </c>
      <c r="C6821">
        <v>790432</v>
      </c>
      <c r="D6821">
        <v>4164</v>
      </c>
    </row>
    <row r="6822" spans="1:4" x14ac:dyDescent="0.25">
      <c r="A6822" t="str">
        <f>T("   621050")</f>
        <v xml:space="preserve">   621050</v>
      </c>
      <c r="B6822" t="s">
        <v>272</v>
      </c>
      <c r="C6822">
        <v>1105293</v>
      </c>
      <c r="D6822">
        <v>5158</v>
      </c>
    </row>
    <row r="6823" spans="1:4" x14ac:dyDescent="0.25">
      <c r="A6823" t="str">
        <f>T("   621210")</f>
        <v xml:space="preserve">   621210</v>
      </c>
      <c r="B6823" t="str">
        <f>T("   Soutiens-gorge et bustiers en tous types de matières textiles, même élastiques et même en bonneterie")</f>
        <v xml:space="preserve">   Soutiens-gorge et bustiers en tous types de matières textiles, même élastiques et même en bonneterie</v>
      </c>
      <c r="C6823">
        <v>1975000</v>
      </c>
      <c r="D6823">
        <v>3100</v>
      </c>
    </row>
    <row r="6824" spans="1:4" x14ac:dyDescent="0.25">
      <c r="A6824" t="str">
        <f>T("   621490")</f>
        <v xml:space="preserve">   621490</v>
      </c>
      <c r="B6824" t="str">
        <f>T("   Châles, écharpes, foulards, cache-nez, cache-col, mantilles, voiles et voilettes et articles simil., de matières textiles (autres que de laine, poils fins, fibres synthétiques ou artificielles, soie et déchets de soie et autres qu'en bonneterie)")</f>
        <v xml:space="preserve">   Châles, écharpes, foulards, cache-nez, cache-col, mantilles, voiles et voilettes et articles simil., de matières textiles (autres que de laine, poils fins, fibres synthétiques ou artificielles, soie et déchets de soie et autres qu'en bonneterie)</v>
      </c>
      <c r="C6824">
        <v>1000000</v>
      </c>
      <c r="D6824">
        <v>6714</v>
      </c>
    </row>
    <row r="6825" spans="1:4" x14ac:dyDescent="0.25">
      <c r="A6825" t="str">
        <f>T("   630229")</f>
        <v xml:space="preserve">   630229</v>
      </c>
      <c r="B6825" t="str">
        <f>T("   Linge de lit, de matières textiles, imprimé (autre que de coton, fibres synthétiques ou artificielles, autres qu'en bonneterie)")</f>
        <v xml:space="preserve">   Linge de lit, de matières textiles, imprimé (autre que de coton, fibres synthétiques ou artificielles, autres qu'en bonneterie)</v>
      </c>
      <c r="C6825">
        <v>10800000</v>
      </c>
      <c r="D6825">
        <v>16786</v>
      </c>
    </row>
    <row r="6826" spans="1:4" x14ac:dyDescent="0.25">
      <c r="A6826" t="str">
        <f>T("   630260")</f>
        <v xml:space="preserve">   630260</v>
      </c>
      <c r="B6826" t="str">
        <f>T("   Linge de toilette ou de cuisine, bouclé du genre éponge, de coton (sauf serpillières, chiffons à parquet, lavettes et chamoisettes)")</f>
        <v xml:space="preserve">   Linge de toilette ou de cuisine, bouclé du genre éponge, de coton (sauf serpillières, chiffons à parquet, lavettes et chamoisettes)</v>
      </c>
      <c r="C6826">
        <v>20948</v>
      </c>
      <c r="D6826">
        <v>100</v>
      </c>
    </row>
    <row r="6827" spans="1:4" x14ac:dyDescent="0.25">
      <c r="A6827" t="str">
        <f>T("   630533")</f>
        <v xml:space="preserve">   630533</v>
      </c>
      <c r="B6827" t="str">
        <f>T("   Sacs et sachets d'emballage obtenus à partir de lames ou formes simil., de polyéthylène ou polypropylène (à l'excl. des contenants souples pour matières en vrac)")</f>
        <v xml:space="preserve">   Sacs et sachets d'emballage obtenus à partir de lames ou formes simil., de polyéthylène ou polypropylène (à l'excl. des contenants souples pour matières en vrac)</v>
      </c>
      <c r="C6827">
        <v>80027</v>
      </c>
      <c r="D6827">
        <v>5600</v>
      </c>
    </row>
    <row r="6828" spans="1:4" x14ac:dyDescent="0.25">
      <c r="A6828" t="str">
        <f>T("   630539")</f>
        <v xml:space="preserve">   630539</v>
      </c>
      <c r="B6828" t="str">
        <f>T("   Sacs et sachets d'emballage de matières synthétiques ou artificielles (autres qu'en lames ou formes simil. de polyéthylène ou de polypropylène ainsi que contenants souples pour matières en vrac)")</f>
        <v xml:space="preserve">   Sacs et sachets d'emballage de matières synthétiques ou artificielles (autres qu'en lames ou formes simil. de polyéthylène ou de polypropylène ainsi que contenants souples pour matières en vrac)</v>
      </c>
      <c r="C6828">
        <v>1970000</v>
      </c>
      <c r="D6828">
        <v>14800</v>
      </c>
    </row>
    <row r="6829" spans="1:4" x14ac:dyDescent="0.25">
      <c r="A6829" t="str">
        <f>T("   630900")</f>
        <v xml:space="preserve">   630900</v>
      </c>
      <c r="B6829" t="s">
        <v>278</v>
      </c>
      <c r="C6829">
        <v>309543673</v>
      </c>
      <c r="D6829">
        <v>631026</v>
      </c>
    </row>
    <row r="6830" spans="1:4" x14ac:dyDescent="0.25">
      <c r="A6830" t="str">
        <f>T("   640299")</f>
        <v xml:space="preserve">   640299</v>
      </c>
      <c r="B6830" t="s">
        <v>283</v>
      </c>
      <c r="C6830">
        <v>196788</v>
      </c>
      <c r="D6830">
        <v>658</v>
      </c>
    </row>
    <row r="6831" spans="1:4" x14ac:dyDescent="0.25">
      <c r="A6831" t="str">
        <f>T("   650699")</f>
        <v xml:space="preserve">   650699</v>
      </c>
      <c r="B6831" t="str">
        <f>T("   Chapeaux et autres coiffures, même garnis, n.d.a.")</f>
        <v xml:space="preserve">   Chapeaux et autres coiffures, même garnis, n.d.a.</v>
      </c>
      <c r="C6831">
        <v>1010422</v>
      </c>
      <c r="D6831">
        <v>149.5</v>
      </c>
    </row>
    <row r="6832" spans="1:4" x14ac:dyDescent="0.25">
      <c r="A6832" t="str">
        <f>T("   680223")</f>
        <v xml:space="preserve">   680223</v>
      </c>
      <c r="B6832" t="str">
        <f>T("   Granit et ouvrages en ces pierres, simplement taillés ou sciés, à surface plane ou unie (sauf à surface entièrement ou partiellement rabotée, poncée au papier sablé, grossièrement ou finement meulée ou polie; non du n° 6801.00.00 ou 6802.10.00)")</f>
        <v xml:space="preserve">   Granit et ouvrages en ces pierres, simplement taillés ou sciés, à surface plane ou unie (sauf à surface entièrement ou partiellement rabotée, poncée au papier sablé, grossièrement ou finement meulée ou polie; non du n° 6801.00.00 ou 6802.10.00)</v>
      </c>
      <c r="C6832">
        <v>7638246</v>
      </c>
      <c r="D6832">
        <v>54000</v>
      </c>
    </row>
    <row r="6833" spans="1:4" x14ac:dyDescent="0.25">
      <c r="A6833" t="str">
        <f>T("   680422")</f>
        <v xml:space="preserve">   680422</v>
      </c>
      <c r="B6833" t="s">
        <v>298</v>
      </c>
      <c r="C6833">
        <v>4430000</v>
      </c>
      <c r="D6833">
        <v>11566</v>
      </c>
    </row>
    <row r="6834" spans="1:4" x14ac:dyDescent="0.25">
      <c r="A6834" t="str">
        <f>T("   681120")</f>
        <v xml:space="preserve">   681120</v>
      </c>
      <c r="B6834" t="str">
        <f>T("   Plaques, panneaux, carreaux, tuiles et articles simil., en amiante-ciment, cellulose-ciment ou simil. (sauf plaques ondulées)")</f>
        <v xml:space="preserve">   Plaques, panneaux, carreaux, tuiles et articles simil., en amiante-ciment, cellulose-ciment ou simil. (sauf plaques ondulées)</v>
      </c>
      <c r="C6834">
        <v>63578107</v>
      </c>
      <c r="D6834">
        <v>518500</v>
      </c>
    </row>
    <row r="6835" spans="1:4" x14ac:dyDescent="0.25">
      <c r="A6835" t="str">
        <f>T("   690790")</f>
        <v xml:space="preserve">   690790</v>
      </c>
      <c r="B6835" t="s">
        <v>310</v>
      </c>
      <c r="C6835">
        <v>159013213</v>
      </c>
      <c r="D6835">
        <v>2133833</v>
      </c>
    </row>
    <row r="6836" spans="1:4" x14ac:dyDescent="0.25">
      <c r="A6836" t="str">
        <f>T("   690890")</f>
        <v xml:space="preserve">   690890</v>
      </c>
      <c r="B6836" t="s">
        <v>311</v>
      </c>
      <c r="C6836">
        <v>133857134</v>
      </c>
      <c r="D6836">
        <v>1562753</v>
      </c>
    </row>
    <row r="6837" spans="1:4" x14ac:dyDescent="0.25">
      <c r="A6837" t="str">
        <f>T("   691010")</f>
        <v xml:space="preserve">   691010</v>
      </c>
      <c r="B6837" t="s">
        <v>312</v>
      </c>
      <c r="C6837">
        <v>85491580</v>
      </c>
      <c r="D6837">
        <v>452273</v>
      </c>
    </row>
    <row r="6838" spans="1:4" x14ac:dyDescent="0.25">
      <c r="A6838" t="str">
        <f>T("   691090")</f>
        <v xml:space="preserve">   691090</v>
      </c>
      <c r="B6838" t="s">
        <v>313</v>
      </c>
      <c r="C6838">
        <v>129446192</v>
      </c>
      <c r="D6838">
        <v>659552</v>
      </c>
    </row>
    <row r="6839" spans="1:4" x14ac:dyDescent="0.25">
      <c r="A6839" t="str">
        <f>T("   691190")</f>
        <v xml:space="preserve">   691190</v>
      </c>
      <c r="B6839" t="s">
        <v>315</v>
      </c>
      <c r="C6839">
        <v>5832149</v>
      </c>
      <c r="D6839">
        <v>25488</v>
      </c>
    </row>
    <row r="6840" spans="1:4" x14ac:dyDescent="0.25">
      <c r="A6840" t="str">
        <f>T("   701710")</f>
        <v xml:space="preserve">   701710</v>
      </c>
      <c r="B6840" t="s">
        <v>335</v>
      </c>
      <c r="C6840">
        <v>986982</v>
      </c>
      <c r="D6840">
        <v>161</v>
      </c>
    </row>
    <row r="6841" spans="1:4" x14ac:dyDescent="0.25">
      <c r="A6841" t="str">
        <f>T("   721030")</f>
        <v xml:space="preserve">   721030</v>
      </c>
      <c r="B6841" t="str">
        <f>T("   Produits laminés plats, en fer ou en aciers non alliés, d'une largeur &gt;= 600 mm, laminés à chaud ou à froid, zingués électrolytiquement")</f>
        <v xml:space="preserve">   Produits laminés plats, en fer ou en aciers non alliés, d'une largeur &gt;= 600 mm, laminés à chaud ou à froid, zingués électrolytiquement</v>
      </c>
      <c r="C6841">
        <v>260634499</v>
      </c>
      <c r="D6841">
        <v>507138</v>
      </c>
    </row>
    <row r="6842" spans="1:4" x14ac:dyDescent="0.25">
      <c r="A6842" t="str">
        <f>T("   721041")</f>
        <v xml:space="preserve">   721041</v>
      </c>
      <c r="B6842" t="str">
        <f>T("   Produits laminés plats, en fer ou en aciers non alliés, d'une largeur &gt;= 600 mm, laminés à chaud ou à froid, zingués, ondulés (à l'excl. des produits zingués électrolytiquement)")</f>
        <v xml:space="preserve">   Produits laminés plats, en fer ou en aciers non alliés, d'une largeur &gt;= 600 mm, laminés à chaud ou à froid, zingués, ondulés (à l'excl. des produits zingués électrolytiquement)</v>
      </c>
      <c r="C6842">
        <v>731338640</v>
      </c>
      <c r="D6842">
        <v>1730426</v>
      </c>
    </row>
    <row r="6843" spans="1:4" x14ac:dyDescent="0.25">
      <c r="A6843" t="str">
        <f>T("   721049")</f>
        <v xml:space="preserve">   721049</v>
      </c>
      <c r="B6843" t="str">
        <f>T("   Produits laminés plats, en fer ou en aciers non alliés, d'une largeur &gt;= 600 mm, laminés à chaud ou à froid, zingués, non ondulés (à l'excl. des produits zingués électrolytiquement)")</f>
        <v xml:space="preserve">   Produits laminés plats, en fer ou en aciers non alliés, d'une largeur &gt;= 600 mm, laminés à chaud ou à froid, zingués, non ondulés (à l'excl. des produits zingués électrolytiquement)</v>
      </c>
      <c r="C6843">
        <v>334507297</v>
      </c>
      <c r="D6843">
        <v>580466</v>
      </c>
    </row>
    <row r="6844" spans="1:4" x14ac:dyDescent="0.25">
      <c r="A6844" t="str">
        <f>T("   721420")</f>
        <v xml:space="preserve">   721420</v>
      </c>
      <c r="B6844" t="str">
        <f>T("   BARRES EN FER OU EN ACIERS NON ALLIÉS, COMPORTANT DES INDENTATIONS, BOURRELETS, CREUX OU RELIEFS OBTENUS AU COURS DU LAMINAGE OU AYANT SUBI UNE TORSION APRÈS LAMINAGE")</f>
        <v xml:space="preserve">   BARRES EN FER OU EN ACIERS NON ALLIÉS, COMPORTANT DES INDENTATIONS, BOURRELETS, CREUX OU RELIEFS OBTENUS AU COURS DU LAMINAGE OU AYANT SUBI UNE TORSION APRÈS LAMINAGE</v>
      </c>
      <c r="C6844">
        <v>58656188</v>
      </c>
      <c r="D6844">
        <v>180000</v>
      </c>
    </row>
    <row r="6845" spans="1:4" x14ac:dyDescent="0.25">
      <c r="A6845" t="str">
        <f>T("   730630")</f>
        <v xml:space="preserve">   730630</v>
      </c>
      <c r="B6845" t="s">
        <v>351</v>
      </c>
      <c r="C6845">
        <v>1695461</v>
      </c>
      <c r="D6845">
        <v>221</v>
      </c>
    </row>
    <row r="6846" spans="1:4" x14ac:dyDescent="0.25">
      <c r="A6846" t="str">
        <f>T("   730640")</f>
        <v xml:space="preserve">   730640</v>
      </c>
      <c r="B6846" t="s">
        <v>352</v>
      </c>
      <c r="C6846">
        <v>276106</v>
      </c>
      <c r="D6846">
        <v>344</v>
      </c>
    </row>
    <row r="6847" spans="1:4" x14ac:dyDescent="0.25">
      <c r="A6847" t="str">
        <f>T("   730890")</f>
        <v xml:space="preserve">   730890</v>
      </c>
      <c r="B6847" t="s">
        <v>355</v>
      </c>
      <c r="C6847">
        <v>122713</v>
      </c>
      <c r="D6847">
        <v>6182</v>
      </c>
    </row>
    <row r="6848" spans="1:4" x14ac:dyDescent="0.25">
      <c r="A6848" t="str">
        <f>T("   730900")</f>
        <v xml:space="preserve">   730900</v>
      </c>
      <c r="B6848" t="s">
        <v>356</v>
      </c>
      <c r="C6848">
        <v>12431464</v>
      </c>
      <c r="D6848">
        <v>344</v>
      </c>
    </row>
    <row r="6849" spans="1:4" x14ac:dyDescent="0.25">
      <c r="A6849" t="str">
        <f>T("   731010")</f>
        <v xml:space="preserve">   731010</v>
      </c>
      <c r="B6849" t="str">
        <f>T("   RÉSERVOIRS, F¹TS, TAMBOURS, BIDONS, BOÎTES ET RÉCIPIENTS SIMIL. EN FONTE, FER OU ACIER, POUR TOUTES MATIÈRES, CONTENANCE &gt;= 50 L MAIS &lt;= 300 L, N.D.A. (À L'EXCL. DES GAZ COMPRIMÉS OU LIQUÉFIÉS ET SAUF AVEC DISPOSITIFS MÉCANIQUES OU THERMIQUES)")</f>
        <v xml:space="preserve">   RÉSERVOIRS, F¹TS, TAMBOURS, BIDONS, BOÎTES ET RÉCIPIENTS SIMIL. EN FONTE, FER OU ACIER, POUR TOUTES MATIÈRES, CONTENANCE &gt;= 50 L MAIS &lt;= 300 L, N.D.A. (À L'EXCL. DES GAZ COMPRIMÉS OU LIQUÉFIÉS ET SAUF AVEC DISPOSITIFS MÉCANIQUES OU THERMIQUES)</v>
      </c>
      <c r="C6849">
        <v>57776</v>
      </c>
      <c r="D6849">
        <v>20</v>
      </c>
    </row>
    <row r="6850" spans="1:4" x14ac:dyDescent="0.25">
      <c r="A6850" t="str">
        <f>T("   731210")</f>
        <v xml:space="preserve">   731210</v>
      </c>
      <c r="B6850" t="str">
        <f>T("   Torons et câbles en fer ou en acier (sauf produits isolés pour l'électricité et sauf fil barbelé pour clôtures et ronces artificielles)")</f>
        <v xml:space="preserve">   Torons et câbles en fer ou en acier (sauf produits isolés pour l'électricité et sauf fil barbelé pour clôtures et ronces artificielles)</v>
      </c>
      <c r="C6850">
        <v>443553</v>
      </c>
      <c r="D6850">
        <v>5430</v>
      </c>
    </row>
    <row r="6851" spans="1:4" x14ac:dyDescent="0.25">
      <c r="A6851" t="str">
        <f>T("   732393")</f>
        <v xml:space="preserve">   732393</v>
      </c>
      <c r="B6851" t="s">
        <v>366</v>
      </c>
      <c r="C6851">
        <v>23353933</v>
      </c>
      <c r="D6851">
        <v>14558</v>
      </c>
    </row>
    <row r="6852" spans="1:4" x14ac:dyDescent="0.25">
      <c r="A6852" t="str">
        <f>T("   732394")</f>
        <v xml:space="preserve">   732394</v>
      </c>
      <c r="B6852" t="s">
        <v>367</v>
      </c>
      <c r="C6852">
        <v>1690375</v>
      </c>
      <c r="D6852">
        <v>1683</v>
      </c>
    </row>
    <row r="6853" spans="1:4" x14ac:dyDescent="0.25">
      <c r="A6853" t="str">
        <f>T("   732591")</f>
        <v xml:space="preserve">   732591</v>
      </c>
      <c r="B6853" t="str">
        <f>T("   Boulets et simil., pour broyeurs, moulés (sauf en fonte non malléable)")</f>
        <v xml:space="preserve">   Boulets et simil., pour broyeurs, moulés (sauf en fonte non malléable)</v>
      </c>
      <c r="C6853">
        <v>80060554</v>
      </c>
      <c r="D6853">
        <v>162000</v>
      </c>
    </row>
    <row r="6854" spans="1:4" x14ac:dyDescent="0.25">
      <c r="A6854" t="str">
        <f>T("   732690")</f>
        <v xml:space="preserve">   732690</v>
      </c>
      <c r="B6854"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6854">
        <v>288089</v>
      </c>
      <c r="D6854">
        <v>47</v>
      </c>
    </row>
    <row r="6855" spans="1:4" x14ac:dyDescent="0.25">
      <c r="A6855" t="str">
        <f>T("   761090")</f>
        <v xml:space="preserve">   761090</v>
      </c>
      <c r="B6855" t="str">
        <f>T("   Constructions et parties de constructions, en aluminium, n.d.a., ainsi que tôles, barres, profilés, tubes, tuyaux et simil., en aluminium, n.d.a; (sauf constructions préfabriquées du n° 9406, portes, fenêtres et leurs cadres, chambranles et seuils)")</f>
        <v xml:space="preserve">   Constructions et parties de constructions, en aluminium, n.d.a., ainsi que tôles, barres, profilés, tubes, tuyaux et simil., en aluminium, n.d.a; (sauf constructions préfabriquées du n° 9406, portes, fenêtres et leurs cadres, chambranles et seuils)</v>
      </c>
      <c r="C6855">
        <v>3450170</v>
      </c>
      <c r="D6855">
        <v>3166.5</v>
      </c>
    </row>
    <row r="6856" spans="1:4" x14ac:dyDescent="0.25">
      <c r="A6856" t="str">
        <f>T("   761519")</f>
        <v xml:space="preserve">   761519</v>
      </c>
      <c r="B6856" t="s">
        <v>373</v>
      </c>
      <c r="C6856">
        <v>160778</v>
      </c>
      <c r="D6856">
        <v>1000</v>
      </c>
    </row>
    <row r="6857" spans="1:4" x14ac:dyDescent="0.25">
      <c r="A6857" t="str">
        <f>T("   820411")</f>
        <v xml:space="preserve">   820411</v>
      </c>
      <c r="B6857" t="str">
        <f>T("   Clés de serrage à main, y.c. -les clés dynamométriques-, en métaux communs, à ouverture fixe")</f>
        <v xml:space="preserve">   Clés de serrage à main, y.c. -les clés dynamométriques-, en métaux communs, à ouverture fixe</v>
      </c>
      <c r="C6857">
        <v>92534</v>
      </c>
      <c r="D6857">
        <v>757</v>
      </c>
    </row>
    <row r="6858" spans="1:4" x14ac:dyDescent="0.25">
      <c r="A6858" t="str">
        <f>T("   820590")</f>
        <v xml:space="preserve">   820590</v>
      </c>
      <c r="B6858" t="str">
        <f>T("   Assortiments d'outils d'au moins deux des sous-positions du n° 8205")</f>
        <v xml:space="preserve">   Assortiments d'outils d'au moins deux des sous-positions du n° 8205</v>
      </c>
      <c r="C6858">
        <v>84318</v>
      </c>
      <c r="D6858">
        <v>40</v>
      </c>
    </row>
    <row r="6859" spans="1:4" x14ac:dyDescent="0.25">
      <c r="A6859" t="str">
        <f>T("   820820")</f>
        <v xml:space="preserve">   820820</v>
      </c>
      <c r="B6859" t="str">
        <f>T("   Couteaux et lames tranchantes, en métaux communs, pour machines ou pour appareils mécaniques, pour le travail du bois")</f>
        <v xml:space="preserve">   Couteaux et lames tranchantes, en métaux communs, pour machines ou pour appareils mécaniques, pour le travail du bois</v>
      </c>
      <c r="C6859">
        <v>2624854</v>
      </c>
      <c r="D6859">
        <v>5430</v>
      </c>
    </row>
    <row r="6860" spans="1:4" x14ac:dyDescent="0.25">
      <c r="A6860" t="str">
        <f>T("   830140")</f>
        <v xml:space="preserve">   830140</v>
      </c>
      <c r="B6860" t="str">
        <f>T("   Serrures et verrous, en métaux communs (autres que cadenas et serrures des types utilisés pour véhicules automobiles ou meubles)")</f>
        <v xml:space="preserve">   Serrures et verrous, en métaux communs (autres que cadenas et serrures des types utilisés pour véhicules automobiles ou meubles)</v>
      </c>
      <c r="C6860">
        <v>276106</v>
      </c>
      <c r="D6860">
        <v>229</v>
      </c>
    </row>
    <row r="6861" spans="1:4" x14ac:dyDescent="0.25">
      <c r="A6861" t="str">
        <f>T("   830910")</f>
        <v xml:space="preserve">   830910</v>
      </c>
      <c r="B6861" t="str">
        <f>T("   Bouchons-couronnes en métaux communs")</f>
        <v xml:space="preserve">   Bouchons-couronnes en métaux communs</v>
      </c>
      <c r="C6861">
        <v>6741325</v>
      </c>
      <c r="D6861">
        <v>1756</v>
      </c>
    </row>
    <row r="6862" spans="1:4" x14ac:dyDescent="0.25">
      <c r="A6862" t="str">
        <f>T("   830990")</f>
        <v xml:space="preserve">   830990</v>
      </c>
      <c r="B6862" t="str">
        <f>T("   Bouchons [y.c. les bouchons à pas de vis et les bouchons-verseurs], couvercles, capsules pour bouteilles, bondes filetées, plaques de bondes, scellés et autres accessoires d'emballage, en métaux communs (à l'excl. des bouchons-couronnes)")</f>
        <v xml:space="preserve">   Bouchons [y.c. les bouchons à pas de vis et les bouchons-verseurs], couvercles, capsules pour bouteilles, bondes filetées, plaques de bondes, scellés et autres accessoires d'emballage, en métaux communs (à l'excl. des bouchons-couronnes)</v>
      </c>
      <c r="C6862">
        <v>1802377</v>
      </c>
      <c r="D6862">
        <v>2927</v>
      </c>
    </row>
    <row r="6863" spans="1:4" x14ac:dyDescent="0.25">
      <c r="A6863" t="str">
        <f>T("   831120")</f>
        <v xml:space="preserve">   831120</v>
      </c>
      <c r="B6863" t="str">
        <f>T("   Fils fourrés en métaux communs, pour le soudage à l'arc")</f>
        <v xml:space="preserve">   Fils fourrés en métaux communs, pour le soudage à l'arc</v>
      </c>
      <c r="C6863">
        <v>667691</v>
      </c>
      <c r="D6863">
        <v>500</v>
      </c>
    </row>
    <row r="6864" spans="1:4" x14ac:dyDescent="0.25">
      <c r="A6864" t="str">
        <f>T("   840310")</f>
        <v xml:space="preserve">   840310</v>
      </c>
      <c r="B6864" t="str">
        <f>T("   Chaudières pour le chauffage central, non-électriques (sauf chaudières à vapeur et chaudières dites -à eau surchauffée- du n° 8402)")</f>
        <v xml:space="preserve">   Chaudières pour le chauffage central, non-électriques (sauf chaudières à vapeur et chaudières dites -à eau surchauffée- du n° 8402)</v>
      </c>
      <c r="C6864">
        <v>6435273</v>
      </c>
      <c r="D6864">
        <v>450</v>
      </c>
    </row>
    <row r="6865" spans="1:4" x14ac:dyDescent="0.25">
      <c r="A6865" t="str">
        <f>T("   840890")</f>
        <v xml:space="preserve">   840890</v>
      </c>
      <c r="B6865" t="s">
        <v>393</v>
      </c>
      <c r="C6865">
        <v>5592576</v>
      </c>
      <c r="D6865">
        <v>7744</v>
      </c>
    </row>
    <row r="6866" spans="1:4" x14ac:dyDescent="0.25">
      <c r="A6866" t="str">
        <f>T("   840991")</f>
        <v xml:space="preserve">   840991</v>
      </c>
      <c r="B6866" t="str">
        <f>T("   Parties reconnaissables comme étant exclusivement ou principalement destinées aux moteurs à piston à allumage par étincelles, n.d.a.")</f>
        <v xml:space="preserve">   Parties reconnaissables comme étant exclusivement ou principalement destinées aux moteurs à piston à allumage par étincelles, n.d.a.</v>
      </c>
      <c r="C6866">
        <v>5599767</v>
      </c>
      <c r="D6866">
        <v>5051</v>
      </c>
    </row>
    <row r="6867" spans="1:4" x14ac:dyDescent="0.25">
      <c r="A6867" t="str">
        <f>T("   841311")</f>
        <v xml:space="preserve">   841311</v>
      </c>
      <c r="B6867" t="str">
        <f>T("   Pompes pour distribution, comportant un dispositif mesureur de liquide ou conçues pour en comporter pour carburants ou lubrifiants, des types utilisés dans les stations-service ou les garages")</f>
        <v xml:space="preserve">   Pompes pour distribution, comportant un dispositif mesureur de liquide ou conçues pour en comporter pour carburants ou lubrifiants, des types utilisés dans les stations-service ou les garages</v>
      </c>
      <c r="C6867">
        <v>43785330</v>
      </c>
      <c r="D6867">
        <v>7147</v>
      </c>
    </row>
    <row r="6868" spans="1:4" x14ac:dyDescent="0.25">
      <c r="A6868" t="str">
        <f>T("   841320")</f>
        <v xml:space="preserve">   841320</v>
      </c>
      <c r="B6868" t="str">
        <f>T("   Pompes à bras pour liquides (sauf les pompes avec dispositif mesureur ou conçues pour en comporter du n° 8413.11 ou 8413.19)")</f>
        <v xml:space="preserve">   Pompes à bras pour liquides (sauf les pompes avec dispositif mesureur ou conçues pour en comporter du n° 8413.11 ou 8413.19)</v>
      </c>
      <c r="C6868">
        <v>13724098</v>
      </c>
      <c r="D6868">
        <v>11522</v>
      </c>
    </row>
    <row r="6869" spans="1:4" x14ac:dyDescent="0.25">
      <c r="A6869" t="str">
        <f>T("   841330")</f>
        <v xml:space="preserve">   841330</v>
      </c>
      <c r="B6869" t="str">
        <f>T("   Pompes à carburant, à huile ou à liquide de refroidissement pour moteurs à allumage par étincelles ou par compression")</f>
        <v xml:space="preserve">   Pompes à carburant, à huile ou à liquide de refroidissement pour moteurs à allumage par étincelles ou par compression</v>
      </c>
      <c r="C6869">
        <v>1319171</v>
      </c>
      <c r="D6869">
        <v>300</v>
      </c>
    </row>
    <row r="6870" spans="1:4" x14ac:dyDescent="0.25">
      <c r="A6870" t="str">
        <f>T("   841381")</f>
        <v xml:space="preserve">   841381</v>
      </c>
      <c r="B6870" t="s">
        <v>397</v>
      </c>
      <c r="C6870">
        <v>66863817</v>
      </c>
      <c r="D6870">
        <v>13309</v>
      </c>
    </row>
    <row r="6871" spans="1:4" x14ac:dyDescent="0.25">
      <c r="A6871" t="str">
        <f>T("   841480")</f>
        <v xml:space="preserve">   841480</v>
      </c>
      <c r="B6871" t="s">
        <v>398</v>
      </c>
      <c r="C6871">
        <v>14525264</v>
      </c>
      <c r="D6871">
        <v>1017</v>
      </c>
    </row>
    <row r="6872" spans="1:4" x14ac:dyDescent="0.25">
      <c r="A6872" t="str">
        <f>T("   841510")</f>
        <v xml:space="preserve">   841510</v>
      </c>
      <c r="B6872" t="s">
        <v>399</v>
      </c>
      <c r="C6872">
        <v>3318032</v>
      </c>
      <c r="D6872">
        <v>1000</v>
      </c>
    </row>
    <row r="6873" spans="1:4" x14ac:dyDescent="0.25">
      <c r="A6873" t="str">
        <f>T("   841710")</f>
        <v xml:space="preserve">   841710</v>
      </c>
      <c r="B6873" t="str">
        <f>T("   Fours industriels ou de laboratoire, non-électriques, pour le grillage, la fusion ou autres traitements thermiques des minerais, de la pyrite ou des métaux (à l'excl. des étuves)")</f>
        <v xml:space="preserve">   Fours industriels ou de laboratoire, non-électriques, pour le grillage, la fusion ou autres traitements thermiques des minerais, de la pyrite ou des métaux (à l'excl. des étuves)</v>
      </c>
      <c r="C6873">
        <v>6417777</v>
      </c>
      <c r="D6873">
        <v>17357</v>
      </c>
    </row>
    <row r="6874" spans="1:4" x14ac:dyDescent="0.25">
      <c r="A6874" t="str">
        <f>T("   841989")</f>
        <v xml:space="preserve">   841989</v>
      </c>
      <c r="B6874" t="s">
        <v>405</v>
      </c>
      <c r="C6874">
        <v>85679019</v>
      </c>
      <c r="D6874">
        <v>9917</v>
      </c>
    </row>
    <row r="6875" spans="1:4" x14ac:dyDescent="0.25">
      <c r="A6875" t="str">
        <f>T("   842121")</f>
        <v xml:space="preserve">   842121</v>
      </c>
      <c r="B6875" t="str">
        <f>T("   Appareils pour la filtration ou l'épuration des eaux")</f>
        <v xml:space="preserve">   Appareils pour la filtration ou l'épuration des eaux</v>
      </c>
      <c r="C6875">
        <v>3815147</v>
      </c>
      <c r="D6875">
        <v>498</v>
      </c>
    </row>
    <row r="6876" spans="1:4" x14ac:dyDescent="0.25">
      <c r="A6876" t="str">
        <f>T("   842123")</f>
        <v xml:space="preserve">   842123</v>
      </c>
      <c r="B6876" t="str">
        <f>T("   Appareils pour la filtration des huiles minérales et carburants pour les moteurs à allumage par étincelles ou par compression")</f>
        <v xml:space="preserve">   Appareils pour la filtration des huiles minérales et carburants pour les moteurs à allumage par étincelles ou par compression</v>
      </c>
      <c r="C6876">
        <v>1874071</v>
      </c>
      <c r="D6876">
        <v>92</v>
      </c>
    </row>
    <row r="6877" spans="1:4" x14ac:dyDescent="0.25">
      <c r="A6877" t="str">
        <f>T("   842129")</f>
        <v xml:space="preserve">   842129</v>
      </c>
      <c r="B6877" t="str">
        <f>T("   Appareils pour la filtration ou l'épuration des liquides (à l'excl. de l'eau ou des boissons, des huiles minérales et carburants pour les moteurs à allumage par étincelles ou par compression ainsi que les reins artificiels)")</f>
        <v xml:space="preserve">   Appareils pour la filtration ou l'épuration des liquides (à l'excl. de l'eau ou des boissons, des huiles minérales et carburants pour les moteurs à allumage par étincelles ou par compression ainsi que les reins artificiels)</v>
      </c>
      <c r="C6877">
        <v>199410</v>
      </c>
      <c r="D6877">
        <v>73</v>
      </c>
    </row>
    <row r="6878" spans="1:4" x14ac:dyDescent="0.25">
      <c r="A6878" t="str">
        <f>T("   842131")</f>
        <v xml:space="preserve">   842131</v>
      </c>
      <c r="B6878" t="str">
        <f>T("   Filtres d'entrée d'air pour moteurs à allumage par étincelles ou par compression")</f>
        <v xml:space="preserve">   Filtres d'entrée d'air pour moteurs à allumage par étincelles ou par compression</v>
      </c>
      <c r="C6878">
        <v>2027115</v>
      </c>
      <c r="D6878">
        <v>63</v>
      </c>
    </row>
    <row r="6879" spans="1:4" x14ac:dyDescent="0.25">
      <c r="A6879" t="str">
        <f>T("   842199")</f>
        <v xml:space="preserve">   842199</v>
      </c>
      <c r="B6879" t="str">
        <f>T("   Parties d'appareils pour la filtration ou l'épuration des liquides ou des gaz, n.d.a.")</f>
        <v xml:space="preserve">   Parties d'appareils pour la filtration ou l'épuration des liquides ou des gaz, n.d.a.</v>
      </c>
      <c r="C6879">
        <v>2931224</v>
      </c>
      <c r="D6879">
        <v>1848</v>
      </c>
    </row>
    <row r="6880" spans="1:4" x14ac:dyDescent="0.25">
      <c r="A6880" t="str">
        <f>T("   842230")</f>
        <v xml:space="preserve">   842230</v>
      </c>
      <c r="B6880" t="str">
        <f>T("   Machines et appareils à remplir, fermer, boucher ou étiqueter les bouteilles, boîtes, sacs ou autres contenants; machines et appareils à capsuler les bouteilles, pots, tubes et contenants analogues; appareils à gazéifier les boissons")</f>
        <v xml:space="preserve">   Machines et appareils à remplir, fermer, boucher ou étiqueter les bouteilles, boîtes, sacs ou autres contenants; machines et appareils à capsuler les bouteilles, pots, tubes et contenants analogues; appareils à gazéifier les boissons</v>
      </c>
      <c r="C6880">
        <v>125581053</v>
      </c>
      <c r="D6880">
        <v>12897</v>
      </c>
    </row>
    <row r="6881" spans="1:4" x14ac:dyDescent="0.25">
      <c r="A6881" t="str">
        <f>T("   842240")</f>
        <v xml:space="preserve">   842240</v>
      </c>
      <c r="B6881" t="s">
        <v>406</v>
      </c>
      <c r="C6881">
        <v>19590267</v>
      </c>
      <c r="D6881">
        <v>2313</v>
      </c>
    </row>
    <row r="6882" spans="1:4" x14ac:dyDescent="0.25">
      <c r="A6882" t="str">
        <f>T("   842290")</f>
        <v xml:space="preserve">   842290</v>
      </c>
      <c r="B6882" t="str">
        <f>T("   Parties des machines à laver la vaisselle, des machines à empaqueter ou à emballer les marchandises et autres machines et appareils du n° 8422, n.d.a.")</f>
        <v xml:space="preserve">   Parties des machines à laver la vaisselle, des machines à empaqueter ou à emballer les marchandises et autres machines et appareils du n° 8422, n.d.a.</v>
      </c>
      <c r="C6882">
        <v>13735295</v>
      </c>
      <c r="D6882">
        <v>961</v>
      </c>
    </row>
    <row r="6883" spans="1:4" x14ac:dyDescent="0.25">
      <c r="A6883" t="str">
        <f>T("   842389")</f>
        <v xml:space="preserve">   842389</v>
      </c>
      <c r="B6883" t="str">
        <f>T("   Appareils et instruments de pesage, portée &gt; 5000 kg")</f>
        <v xml:space="preserve">   Appareils et instruments de pesage, portée &gt; 5000 kg</v>
      </c>
      <c r="C6883">
        <v>9404648</v>
      </c>
      <c r="D6883">
        <v>15000</v>
      </c>
    </row>
    <row r="6884" spans="1:4" x14ac:dyDescent="0.25">
      <c r="A6884" t="str">
        <f>T("   843699")</f>
        <v xml:space="preserve">   843699</v>
      </c>
      <c r="B6884" t="str">
        <f>T("   Parties de machines et appareils pour l'agriculture, la sylviculture, l'horticulture ou l'apiculture, n.d.a.")</f>
        <v xml:space="preserve">   Parties de machines et appareils pour l'agriculture, la sylviculture, l'horticulture ou l'apiculture, n.d.a.</v>
      </c>
      <c r="C6884">
        <v>80645582</v>
      </c>
      <c r="D6884">
        <v>33403</v>
      </c>
    </row>
    <row r="6885" spans="1:4" x14ac:dyDescent="0.25">
      <c r="A6885" t="str">
        <f>T("   844351")</f>
        <v xml:space="preserve">   844351</v>
      </c>
      <c r="B6885" t="str">
        <f>T("   Machines à imprimer à jet d'encre")</f>
        <v xml:space="preserve">   Machines à imprimer à jet d'encre</v>
      </c>
      <c r="C6885">
        <v>11625676</v>
      </c>
      <c r="D6885">
        <v>814</v>
      </c>
    </row>
    <row r="6886" spans="1:4" x14ac:dyDescent="0.25">
      <c r="A6886" t="str">
        <f>T("   846190")</f>
        <v xml:space="preserve">   846190</v>
      </c>
      <c r="B6886" t="str">
        <f>T("   Machines à raboter et autres machines-outils travaillant par enlèvement de métal, n.d.a.")</f>
        <v xml:space="preserve">   Machines à raboter et autres machines-outils travaillant par enlèvement de métal, n.d.a.</v>
      </c>
      <c r="C6886">
        <v>22663188</v>
      </c>
      <c r="D6886">
        <v>3450</v>
      </c>
    </row>
    <row r="6887" spans="1:4" x14ac:dyDescent="0.25">
      <c r="A6887" t="str">
        <f>T("   846591")</f>
        <v xml:space="preserve">   846591</v>
      </c>
      <c r="B6887" t="str">
        <f>T("   Machines à scier, pour le travail du bois, des matières plastiques dures, etc. (autres que pour emploi à la main)")</f>
        <v xml:space="preserve">   Machines à scier, pour le travail du bois, des matières plastiques dures, etc. (autres que pour emploi à la main)</v>
      </c>
      <c r="C6887">
        <v>15966836</v>
      </c>
      <c r="D6887">
        <v>5430</v>
      </c>
    </row>
    <row r="6888" spans="1:4" x14ac:dyDescent="0.25">
      <c r="A6888" t="str">
        <f>T("   846599")</f>
        <v xml:space="preserve">   846599</v>
      </c>
      <c r="B6888" t="s">
        <v>434</v>
      </c>
      <c r="C6888">
        <v>9702078</v>
      </c>
      <c r="D6888">
        <v>5430</v>
      </c>
    </row>
    <row r="6889" spans="1:4" x14ac:dyDescent="0.25">
      <c r="A6889" t="str">
        <f>T("   846692")</f>
        <v xml:space="preserve">   846692</v>
      </c>
      <c r="B6889" t="str">
        <f>T("   Parties et accessoires pour machines-outils pour le travail du bois, des matières plastiques dures, etc., n.d.a.")</f>
        <v xml:space="preserve">   Parties et accessoires pour machines-outils pour le travail du bois, des matières plastiques dures, etc., n.d.a.</v>
      </c>
      <c r="C6889">
        <v>5544057</v>
      </c>
      <c r="D6889">
        <v>5430</v>
      </c>
    </row>
    <row r="6890" spans="1:4" x14ac:dyDescent="0.25">
      <c r="A6890" t="str">
        <f>T("   847180")</f>
        <v xml:space="preserve">   847180</v>
      </c>
      <c r="B6890"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6890">
        <v>29723080</v>
      </c>
      <c r="D6890">
        <v>353</v>
      </c>
    </row>
    <row r="6891" spans="1:4" x14ac:dyDescent="0.25">
      <c r="A6891" t="str">
        <f>T("   847730")</f>
        <v xml:space="preserve">   847730</v>
      </c>
      <c r="B6891" t="str">
        <f>T("   Machines à mouler par soufflage pour le travail du caoutchouc ou des matières plastiques ou pour la fabrication de produits en ces matières")</f>
        <v xml:space="preserve">   Machines à mouler par soufflage pour le travail du caoutchouc ou des matières plastiques ou pour la fabrication de produits en ces matières</v>
      </c>
      <c r="C6891">
        <v>28825234</v>
      </c>
      <c r="D6891">
        <v>3761</v>
      </c>
    </row>
    <row r="6892" spans="1:4" x14ac:dyDescent="0.25">
      <c r="A6892" t="str">
        <f>T("   847790")</f>
        <v xml:space="preserve">   847790</v>
      </c>
      <c r="B6892" t="str">
        <f>T("   Parties des machines et appareils pour le travail du caoutchouc ou des matières plastiques ou pour la fabrication de produits en ces matières, n.d.a.")</f>
        <v xml:space="preserve">   Parties des machines et appareils pour le travail du caoutchouc ou des matières plastiques ou pour la fabrication de produits en ces matières, n.d.a.</v>
      </c>
      <c r="C6892">
        <v>10554808</v>
      </c>
      <c r="D6892">
        <v>1377</v>
      </c>
    </row>
    <row r="6893" spans="1:4" x14ac:dyDescent="0.25">
      <c r="A6893" t="str">
        <f>T("   848079")</f>
        <v xml:space="preserve">   848079</v>
      </c>
      <c r="B6893" t="s">
        <v>446</v>
      </c>
      <c r="C6893">
        <v>6358098</v>
      </c>
      <c r="D6893">
        <v>830</v>
      </c>
    </row>
    <row r="6894" spans="1:4" x14ac:dyDescent="0.25">
      <c r="A6894" t="str">
        <f>T("   848280")</f>
        <v xml:space="preserve">   848280</v>
      </c>
      <c r="B6894" t="s">
        <v>447</v>
      </c>
      <c r="C6894">
        <v>2277871</v>
      </c>
      <c r="D6894">
        <v>665</v>
      </c>
    </row>
    <row r="6895" spans="1:4" x14ac:dyDescent="0.25">
      <c r="A6895" t="str">
        <f>T("   848310")</f>
        <v xml:space="preserve">   848310</v>
      </c>
      <c r="B6895" t="str">
        <f>T("   Arbres de transmission pour machines, y.c. -les arbres à cames et les vilebrequins- et manivelles")</f>
        <v xml:space="preserve">   Arbres de transmission pour machines, y.c. -les arbres à cames et les vilebrequins- et manivelles</v>
      </c>
      <c r="C6895">
        <v>1825365</v>
      </c>
      <c r="D6895">
        <v>2850</v>
      </c>
    </row>
    <row r="6896" spans="1:4" x14ac:dyDescent="0.25">
      <c r="A6896" t="str">
        <f>T("   850211")</f>
        <v xml:space="preserve">   850211</v>
      </c>
      <c r="B6896" t="s">
        <v>449</v>
      </c>
      <c r="C6896">
        <v>84105505</v>
      </c>
      <c r="D6896">
        <v>27537</v>
      </c>
    </row>
    <row r="6897" spans="1:4" x14ac:dyDescent="0.25">
      <c r="A6897" t="str">
        <f>T("   850212")</f>
        <v xml:space="preserve">   850212</v>
      </c>
      <c r="B6897"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6897">
        <v>11874937</v>
      </c>
      <c r="D6897">
        <v>4555</v>
      </c>
    </row>
    <row r="6898" spans="1:4" x14ac:dyDescent="0.25">
      <c r="A6898" t="str">
        <f>T("   850300")</f>
        <v xml:space="preserve">   850300</v>
      </c>
      <c r="B6898" t="str">
        <f>T("   Parties reconnaissables comme étant exclusivement ou principalement destinées aux moteurs et machines génératrices électriques, groupes électrogènes ou convertisseurs rotatifs électriques n.d.a.")</f>
        <v xml:space="preserve">   Parties reconnaissables comme étant exclusivement ou principalement destinées aux moteurs et machines génératrices électriques, groupes électrogènes ou convertisseurs rotatifs électriques n.d.a.</v>
      </c>
      <c r="C6898">
        <v>26843</v>
      </c>
      <c r="D6898">
        <v>36</v>
      </c>
    </row>
    <row r="6899" spans="1:4" x14ac:dyDescent="0.25">
      <c r="A6899" t="str">
        <f>T("   850440")</f>
        <v xml:space="preserve">   850440</v>
      </c>
      <c r="B6899" t="str">
        <f>T("   CONVERTISSEURS STATIQUES")</f>
        <v xml:space="preserve">   CONVERTISSEURS STATIQUES</v>
      </c>
      <c r="C6899">
        <v>939521</v>
      </c>
      <c r="D6899">
        <v>1000</v>
      </c>
    </row>
    <row r="6900" spans="1:4" x14ac:dyDescent="0.25">
      <c r="A6900" t="str">
        <f>T("   850780")</f>
        <v xml:space="preserve">   850780</v>
      </c>
      <c r="B6900" t="str">
        <f>T("   Accumulateurs électriques (sauf hors d'usage et autres qu'au plomb, au nickel-cadmium ou au nickel-fer)")</f>
        <v xml:space="preserve">   Accumulateurs électriques (sauf hors d'usage et autres qu'au plomb, au nickel-cadmium ou au nickel-fer)</v>
      </c>
      <c r="C6900">
        <v>4297895</v>
      </c>
      <c r="D6900">
        <v>7839</v>
      </c>
    </row>
    <row r="6901" spans="1:4" x14ac:dyDescent="0.25">
      <c r="A6901" t="str">
        <f>T("   851780")</f>
        <v xml:space="preserve">   851780</v>
      </c>
      <c r="B6901" t="s">
        <v>458</v>
      </c>
      <c r="C6901">
        <v>81045030</v>
      </c>
      <c r="D6901">
        <v>12522.24</v>
      </c>
    </row>
    <row r="6902" spans="1:4" x14ac:dyDescent="0.25">
      <c r="A6902" t="str">
        <f>T("   851790")</f>
        <v xml:space="preserve">   851790</v>
      </c>
      <c r="B6902" t="s">
        <v>459</v>
      </c>
      <c r="C6902">
        <v>9492397</v>
      </c>
      <c r="D6902">
        <v>5964</v>
      </c>
    </row>
    <row r="6903" spans="1:4" x14ac:dyDescent="0.25">
      <c r="A6903" t="str">
        <f>T("   853630")</f>
        <v xml:space="preserve">   853630</v>
      </c>
      <c r="B6903" t="str">
        <f>T("   APPAREILS POUR LA PROTECTION DES CIRCUITS ÉLECTRIQUES (SAUF FUSIBLES, COUPE-CIRCUIT À FUSIBLES ET DISJONCTEURS), POUR UNE TENSION &lt;= 1.000 V")</f>
        <v xml:space="preserve">   APPAREILS POUR LA PROTECTION DES CIRCUITS ÉLECTRIQUES (SAUF FUSIBLES, COUPE-CIRCUIT À FUSIBLES ET DISJONCTEURS), POUR UNE TENSION &lt;= 1.000 V</v>
      </c>
      <c r="C6903">
        <v>1106339</v>
      </c>
      <c r="D6903">
        <v>1596</v>
      </c>
    </row>
    <row r="6904" spans="1:4" x14ac:dyDescent="0.25">
      <c r="A6904" t="str">
        <f>T("   853649")</f>
        <v xml:space="preserve">   853649</v>
      </c>
      <c r="B6904" t="str">
        <f>T("   Relais, pour une tension &gt; 60 V mais &lt;= 1.000 V")</f>
        <v xml:space="preserve">   Relais, pour une tension &gt; 60 V mais &lt;= 1.000 V</v>
      </c>
      <c r="C6904">
        <v>3378525</v>
      </c>
      <c r="D6904">
        <v>105</v>
      </c>
    </row>
    <row r="6905" spans="1:4" x14ac:dyDescent="0.25">
      <c r="A6905" t="str">
        <f>T("   853650")</f>
        <v xml:space="preserve">   853650</v>
      </c>
      <c r="B6905" t="str">
        <f>T("   Interrupteurs, sectionneurs et commutateurs, pour une tension &lt;= 1.000 V (autres que relais et disjoncteurs)")</f>
        <v xml:space="preserve">   Interrupteurs, sectionneurs et commutateurs, pour une tension &lt;= 1.000 V (autres que relais et disjoncteurs)</v>
      </c>
      <c r="C6905">
        <v>788323</v>
      </c>
      <c r="D6905">
        <v>24</v>
      </c>
    </row>
    <row r="6906" spans="1:4" x14ac:dyDescent="0.25">
      <c r="A6906" t="str">
        <f>T("   853710")</f>
        <v xml:space="preserve">   853710</v>
      </c>
      <c r="B6906"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6906">
        <v>4236495</v>
      </c>
      <c r="D6906">
        <v>115</v>
      </c>
    </row>
    <row r="6907" spans="1:4" x14ac:dyDescent="0.25">
      <c r="A6907" t="str">
        <f>T("   870190")</f>
        <v xml:space="preserve">   870190</v>
      </c>
      <c r="B6907" t="str">
        <f>T("   Tracteurs (à l'excl. des chariots-tracteurs du n° 8709, ainsi que des motoculteurs, tracteurs routiers pour semi-remorques et tracteurs à chenilles)")</f>
        <v xml:space="preserve">   Tracteurs (à l'excl. des chariots-tracteurs du n° 8709, ainsi que des motoculteurs, tracteurs routiers pour semi-remorques et tracteurs à chenilles)</v>
      </c>
      <c r="C6907">
        <v>16475259</v>
      </c>
      <c r="D6907">
        <v>5962</v>
      </c>
    </row>
    <row r="6908" spans="1:4" x14ac:dyDescent="0.25">
      <c r="A6908" t="str">
        <f>T("   870210")</f>
        <v xml:space="preserve">   870210</v>
      </c>
      <c r="B6908" t="s">
        <v>477</v>
      </c>
      <c r="C6908">
        <v>225406388</v>
      </c>
      <c r="D6908">
        <v>39600</v>
      </c>
    </row>
    <row r="6909" spans="1:4" x14ac:dyDescent="0.25">
      <c r="A6909" t="str">
        <f>T("   870421")</f>
        <v xml:space="preserve">   870421</v>
      </c>
      <c r="B6909" t="s">
        <v>486</v>
      </c>
      <c r="C6909">
        <v>2986224</v>
      </c>
      <c r="D6909">
        <v>1500</v>
      </c>
    </row>
    <row r="6910" spans="1:4" x14ac:dyDescent="0.25">
      <c r="A6910" t="str">
        <f>T("   870710")</f>
        <v xml:space="preserve">   870710</v>
      </c>
      <c r="B6910" t="str">
        <f>T("   Carrosseries pour voitures de tourisme")</f>
        <v xml:space="preserve">   Carrosseries pour voitures de tourisme</v>
      </c>
      <c r="C6910">
        <v>861730</v>
      </c>
      <c r="D6910">
        <v>70</v>
      </c>
    </row>
    <row r="6911" spans="1:4" x14ac:dyDescent="0.25">
      <c r="A6911" t="str">
        <f>T("   870829")</f>
        <v xml:space="preserve">   870829</v>
      </c>
      <c r="B6911" t="s">
        <v>493</v>
      </c>
      <c r="C6911">
        <v>161291165</v>
      </c>
      <c r="D6911">
        <v>66806</v>
      </c>
    </row>
    <row r="6912" spans="1:4" x14ac:dyDescent="0.25">
      <c r="A6912" t="str">
        <f>T("   870899")</f>
        <v xml:space="preserve">   870899</v>
      </c>
      <c r="B6912"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6912">
        <v>1129349</v>
      </c>
      <c r="D6912">
        <v>120</v>
      </c>
    </row>
    <row r="6913" spans="1:4" x14ac:dyDescent="0.25">
      <c r="A6913" t="str">
        <f>T("   871120")</f>
        <v xml:space="preserve">   871120</v>
      </c>
      <c r="B6913" t="str">
        <f>T("   Motocycles à moteur à piston alternatif, cylindrée &gt; 50 cm³ mais &lt;= 250 cm³")</f>
        <v xml:space="preserve">   Motocycles à moteur à piston alternatif, cylindrée &gt; 50 cm³ mais &lt;= 250 cm³</v>
      </c>
      <c r="C6913">
        <v>79920610</v>
      </c>
      <c r="D6913">
        <v>63756</v>
      </c>
    </row>
    <row r="6914" spans="1:4" x14ac:dyDescent="0.25">
      <c r="A6914" t="str">
        <f>T("   871411")</f>
        <v xml:space="preserve">   871411</v>
      </c>
      <c r="B6914" t="str">
        <f>T("   Selles de motocycles, y.c. de cyclomoteurs")</f>
        <v xml:space="preserve">   Selles de motocycles, y.c. de cyclomoteurs</v>
      </c>
      <c r="C6914">
        <v>730050</v>
      </c>
      <c r="D6914">
        <v>17</v>
      </c>
    </row>
    <row r="6915" spans="1:4" x14ac:dyDescent="0.25">
      <c r="A6915" t="str">
        <f>T("   871492")</f>
        <v xml:space="preserve">   871492</v>
      </c>
      <c r="B6915" t="str">
        <f>T("   Jantes et rayons, de bicyclettes")</f>
        <v xml:space="preserve">   Jantes et rayons, de bicyclettes</v>
      </c>
      <c r="C6915">
        <v>275000</v>
      </c>
      <c r="D6915">
        <v>500</v>
      </c>
    </row>
    <row r="6916" spans="1:4" x14ac:dyDescent="0.25">
      <c r="A6916" t="str">
        <f>T("   890190")</f>
        <v xml:space="preserve">   890190</v>
      </c>
      <c r="B6916" t="str">
        <f>T("   Cargos et bateaux pour le transport de personnes et de marchandises (autres que bateaux frigorifiques, bateaux-citernes, cargos et bateaux destinés essentiellement au transport des personnes)")</f>
        <v xml:space="preserve">   Cargos et bateaux pour le transport de personnes et de marchandises (autres que bateaux frigorifiques, bateaux-citernes, cargos et bateaux destinés essentiellement au transport des personnes)</v>
      </c>
      <c r="C6916">
        <v>348156</v>
      </c>
      <c r="D6916">
        <v>61</v>
      </c>
    </row>
    <row r="6917" spans="1:4" x14ac:dyDescent="0.25">
      <c r="A6917" t="str">
        <f>T("   901590")</f>
        <v xml:space="preserve">   901590</v>
      </c>
      <c r="B6917" t="str">
        <f>T("   Parties et accessoires des instruments et appareils de géodésie, de topographie, d'arpentage, de nivellement, de photogrammétrie, d'hydrographie, d'océanographie, d'hydrologie, de météorologie ou de géophysique ainsi que des télémètres, n.d.a.")</f>
        <v xml:space="preserve">   Parties et accessoires des instruments et appareils de géodésie, de topographie, d'arpentage, de nivellement, de photogrammétrie, d'hydrographie, d'océanographie, d'hydrologie, de météorologie ou de géophysique ainsi que des télémètres, n.d.a.</v>
      </c>
      <c r="C6917">
        <v>331348</v>
      </c>
      <c r="D6917">
        <v>86</v>
      </c>
    </row>
    <row r="6918" spans="1:4" x14ac:dyDescent="0.25">
      <c r="A6918" t="str">
        <f>T("   901730")</f>
        <v xml:space="preserve">   901730</v>
      </c>
      <c r="B6918" t="str">
        <f>T("   Micromètres, pieds à coulisses, calibres et jauges")</f>
        <v xml:space="preserve">   Micromètres, pieds à coulisses, calibres et jauges</v>
      </c>
      <c r="C6918">
        <v>21491924</v>
      </c>
      <c r="D6918">
        <v>664</v>
      </c>
    </row>
    <row r="6919" spans="1:4" x14ac:dyDescent="0.25">
      <c r="A6919" t="str">
        <f>T("   901819")</f>
        <v xml:space="preserve">   901819</v>
      </c>
      <c r="B6919" t="s">
        <v>502</v>
      </c>
      <c r="C6919">
        <v>672359</v>
      </c>
      <c r="D6919">
        <v>266</v>
      </c>
    </row>
    <row r="6920" spans="1:4" x14ac:dyDescent="0.25">
      <c r="A6920" t="str">
        <f>T("   901831")</f>
        <v xml:space="preserve">   901831</v>
      </c>
      <c r="B6920" t="str">
        <f>T("   Seringues, avec ou sans aiguilles, pour la médecine")</f>
        <v xml:space="preserve">   Seringues, avec ou sans aiguilles, pour la médecine</v>
      </c>
      <c r="C6920">
        <v>12099678</v>
      </c>
      <c r="D6920">
        <v>7347</v>
      </c>
    </row>
    <row r="6921" spans="1:4" x14ac:dyDescent="0.25">
      <c r="A6921" t="str">
        <f>T("   901839")</f>
        <v xml:space="preserve">   901839</v>
      </c>
      <c r="B6921" t="str">
        <f>T("   AIGUILLES, CTHEÉTERS, CANULES ET SIMIL. POUR LA MÉDECINE (SAUF SERINGUES, AIGUILLES TUBULAIRES EN MÉTAL ET AIGUILLES À SUTURES)")</f>
        <v xml:space="preserve">   AIGUILLES, CTHEÉTERS, CANULES ET SIMIL. POUR LA MÉDECINE (SAUF SERINGUES, AIGUILLES TUBULAIRES EN MÉTAL ET AIGUILLES À SUTURES)</v>
      </c>
      <c r="C6921">
        <v>6221441</v>
      </c>
      <c r="D6921">
        <v>1522</v>
      </c>
    </row>
    <row r="6922" spans="1:4" x14ac:dyDescent="0.25">
      <c r="A6922" t="str">
        <f>T("   901890")</f>
        <v xml:space="preserve">   901890</v>
      </c>
      <c r="B6922" t="str">
        <f>T("   Instruments et appareils pour la médecine, la chirurgie ou l'art vétérinaire, n.d.a.")</f>
        <v xml:space="preserve">   Instruments et appareils pour la médecine, la chirurgie ou l'art vétérinaire, n.d.a.</v>
      </c>
      <c r="C6922">
        <v>18766484</v>
      </c>
      <c r="D6922">
        <v>1943.5</v>
      </c>
    </row>
    <row r="6923" spans="1:4" x14ac:dyDescent="0.25">
      <c r="A6923" t="str">
        <f>T("   902580")</f>
        <v xml:space="preserve">   902580</v>
      </c>
      <c r="B6923" t="s">
        <v>505</v>
      </c>
      <c r="C6923">
        <v>7914</v>
      </c>
      <c r="D6923">
        <v>80</v>
      </c>
    </row>
    <row r="6924" spans="1:4" x14ac:dyDescent="0.25">
      <c r="A6924" t="str">
        <f>T("   902780")</f>
        <v xml:space="preserve">   902780</v>
      </c>
      <c r="B6924" t="str">
        <f>T("   Instruments et appareils pour analyses physiques ou chimiques, ou pour essais de viscosité, de porosité, de dilatation, de tension superficielle ou simil. ou pour mesures calorimétriques ou acoustiques ou photométriques, n.d.a.")</f>
        <v xml:space="preserve">   Instruments et appareils pour analyses physiques ou chimiques, ou pour essais de viscosité, de porosité, de dilatation, de tension superficielle ou simil. ou pour mesures calorimétriques ou acoustiques ou photométriques, n.d.a.</v>
      </c>
      <c r="C6924">
        <v>9537148</v>
      </c>
      <c r="D6924">
        <v>1244</v>
      </c>
    </row>
    <row r="6925" spans="1:4" x14ac:dyDescent="0.25">
      <c r="A6925" t="str">
        <f>T("   910529")</f>
        <v xml:space="preserve">   910529</v>
      </c>
      <c r="B6925" t="str">
        <f>T("   Pendules et horloges murales ne fonctionnant pas électriquement")</f>
        <v xml:space="preserve">   Pendules et horloges murales ne fonctionnant pas électriquement</v>
      </c>
      <c r="C6925">
        <v>202233</v>
      </c>
      <c r="D6925">
        <v>151</v>
      </c>
    </row>
    <row r="6926" spans="1:4" x14ac:dyDescent="0.25">
      <c r="A6926" t="str">
        <f>T("   940600")</f>
        <v xml:space="preserve">   940600</v>
      </c>
      <c r="B6926" t="str">
        <f>T("   Constructions préfabriquées, même incomplètes ou non encore montées")</f>
        <v xml:space="preserve">   Constructions préfabriquées, même incomplètes ou non encore montées</v>
      </c>
      <c r="C6926">
        <v>59837327</v>
      </c>
      <c r="D6926">
        <v>78000</v>
      </c>
    </row>
    <row r="6927" spans="1:4" x14ac:dyDescent="0.25">
      <c r="A6927" t="str">
        <f>T("   960310")</f>
        <v xml:space="preserve">   960310</v>
      </c>
      <c r="B6927" t="str">
        <f>T("   Balais et balayettes consistant en matières végétales en bottes liées")</f>
        <v xml:space="preserve">   Balais et balayettes consistant en matières végétales en bottes liées</v>
      </c>
      <c r="C6927">
        <v>41401</v>
      </c>
      <c r="D6927">
        <v>400</v>
      </c>
    </row>
    <row r="6928" spans="1:4" x14ac:dyDescent="0.25">
      <c r="A6928" t="str">
        <f>T("   960329")</f>
        <v xml:space="preserve">   960329</v>
      </c>
      <c r="B6928" t="str">
        <f>T("   Brosses et pinceaux à barbe, à cheveux, à cils ou à ongles et autres brosses pour la toilette des personnes, sauf brosses à dent")</f>
        <v xml:space="preserve">   Brosses et pinceaux à barbe, à cheveux, à cils ou à ongles et autres brosses pour la toilette des personnes, sauf brosses à dent</v>
      </c>
      <c r="C6928">
        <v>70268</v>
      </c>
      <c r="D6928">
        <v>20</v>
      </c>
    </row>
    <row r="6929" spans="1:4" x14ac:dyDescent="0.25">
      <c r="A6929" t="str">
        <f>T("   960810")</f>
        <v xml:space="preserve">   960810</v>
      </c>
      <c r="B6929" t="str">
        <f>T("   Stylos et crayons à bille")</f>
        <v xml:space="preserve">   Stylos et crayons à bille</v>
      </c>
      <c r="C6929">
        <v>131227</v>
      </c>
      <c r="D6929">
        <v>1641</v>
      </c>
    </row>
    <row r="6930" spans="1:4" x14ac:dyDescent="0.25">
      <c r="A6930" t="str">
        <f>T("   960839")</f>
        <v xml:space="preserve">   960839</v>
      </c>
      <c r="B6930" t="str">
        <f>T("   Stylos à plume et autres stylos (autres qu'à dessiner à l'encre de Chine)")</f>
        <v xml:space="preserve">   Stylos à plume et autres stylos (autres qu'à dessiner à l'encre de Chine)</v>
      </c>
      <c r="C6930">
        <v>19679</v>
      </c>
      <c r="D6930">
        <v>34</v>
      </c>
    </row>
    <row r="6931" spans="1:4" x14ac:dyDescent="0.25">
      <c r="A6931" t="str">
        <f>T("IR")</f>
        <v>IR</v>
      </c>
      <c r="B6931" t="str">
        <f>T("Iran, République Islqmique d'")</f>
        <v>Iran, République Islqmique d'</v>
      </c>
    </row>
    <row r="6932" spans="1:4" x14ac:dyDescent="0.25">
      <c r="A6932" t="str">
        <f>T("   ZZ_Total_Produit_SH6")</f>
        <v xml:space="preserve">   ZZ_Total_Produit_SH6</v>
      </c>
      <c r="B6932" t="str">
        <f>T("   ZZ_Total_Produit_SH6")</f>
        <v xml:space="preserve">   ZZ_Total_Produit_SH6</v>
      </c>
      <c r="C6932">
        <v>17272488</v>
      </c>
      <c r="D6932">
        <v>28360.5</v>
      </c>
    </row>
    <row r="6933" spans="1:4" x14ac:dyDescent="0.25">
      <c r="A6933" t="str">
        <f>T("   190110")</f>
        <v xml:space="preserve">   190110</v>
      </c>
      <c r="B6933" t="s">
        <v>47</v>
      </c>
      <c r="C6933">
        <v>609000</v>
      </c>
      <c r="D6933">
        <v>1074</v>
      </c>
    </row>
    <row r="6934" spans="1:4" x14ac:dyDescent="0.25">
      <c r="A6934" t="str">
        <f>T("   300490")</f>
        <v xml:space="preserve">   300490</v>
      </c>
      <c r="B6934" t="s">
        <v>80</v>
      </c>
      <c r="C6934">
        <v>5269983</v>
      </c>
      <c r="D6934">
        <v>612</v>
      </c>
    </row>
    <row r="6935" spans="1:4" x14ac:dyDescent="0.25">
      <c r="A6935" t="str">
        <f>T("   330610")</f>
        <v xml:space="preserve">   330610</v>
      </c>
      <c r="B6935" t="str">
        <f>T("   Dentifrices, préparés, même des types utilisés par les dentistes")</f>
        <v xml:space="preserve">   Dentifrices, préparés, même des types utilisés par les dentistes</v>
      </c>
      <c r="C6935">
        <v>139577</v>
      </c>
      <c r="D6935">
        <v>1062</v>
      </c>
    </row>
    <row r="6936" spans="1:4" x14ac:dyDescent="0.25">
      <c r="A6936" t="str">
        <f>T("   340120")</f>
        <v xml:space="preserve">   340120</v>
      </c>
      <c r="B6936" t="str">
        <f>T("   Savons en flocons, en paillettes, en granulés ou en poudres et savons liquides ou pâteux")</f>
        <v xml:space="preserve">   Savons en flocons, en paillettes, en granulés ou en poudres et savons liquides ou pâteux</v>
      </c>
      <c r="C6936">
        <v>130853</v>
      </c>
      <c r="D6936">
        <v>995</v>
      </c>
    </row>
    <row r="6937" spans="1:4" x14ac:dyDescent="0.25">
      <c r="A6937" t="str">
        <f>T("   340220")</f>
        <v xml:space="preserve">   340220</v>
      </c>
      <c r="B6937" t="s">
        <v>104</v>
      </c>
      <c r="C6937">
        <v>1658186</v>
      </c>
      <c r="D6937">
        <v>12600</v>
      </c>
    </row>
    <row r="6938" spans="1:4" x14ac:dyDescent="0.25">
      <c r="A6938" t="str">
        <f>T("   340540")</f>
        <v xml:space="preserve">   340540</v>
      </c>
      <c r="B6938" t="str">
        <f>T("   Pâtes, poudres et autres préparations à récurer, même sous forme de papier, ouates, feutres, nontissés, matière plastique ou caoutchouc alvéolaires, imprégnés, enduits ou recouverts de ces préparations")</f>
        <v xml:space="preserve">   Pâtes, poudres et autres préparations à récurer, même sous forme de papier, ouates, feutres, nontissés, matière plastique ou caoutchouc alvéolaires, imprégnés, enduits ou recouverts de ces préparations</v>
      </c>
      <c r="C6938">
        <v>872364</v>
      </c>
      <c r="D6938">
        <v>6630</v>
      </c>
    </row>
    <row r="6939" spans="1:4" x14ac:dyDescent="0.25">
      <c r="A6939" t="str">
        <f>T("   570500")</f>
        <v xml:space="preserve">   570500</v>
      </c>
      <c r="B6939" t="str">
        <f>T("   Tapis et autres revêtements de sol en matières textiles, même confectionnés (à l'excl. à points noués ou enroulés, tissés, touffetés ou en feutre)")</f>
        <v xml:space="preserve">   Tapis et autres revêtements de sol en matières textiles, même confectionnés (à l'excl. à points noués ou enroulés, tissés, touffetés ou en feutre)</v>
      </c>
      <c r="C6939">
        <v>128447</v>
      </c>
      <c r="D6939">
        <v>800</v>
      </c>
    </row>
    <row r="6940" spans="1:4" x14ac:dyDescent="0.25">
      <c r="A6940" t="str">
        <f>T("   732399")</f>
        <v xml:space="preserve">   732399</v>
      </c>
      <c r="B6940" t="s">
        <v>368</v>
      </c>
      <c r="C6940">
        <v>381236</v>
      </c>
      <c r="D6940">
        <v>1480</v>
      </c>
    </row>
    <row r="6941" spans="1:4" x14ac:dyDescent="0.25">
      <c r="A6941" t="str">
        <f>T("   830300")</f>
        <v xml:space="preserve">   830300</v>
      </c>
      <c r="B6941" t="str">
        <f>T("   Coffres-forts, portes blindées et compartiments pour chambres fortes, coffres et cassettes de sûreté et articles simil., en métaux communs")</f>
        <v xml:space="preserve">   Coffres-forts, portes blindées et compartiments pour chambres fortes, coffres et cassettes de sûreté et articles simil., en métaux communs</v>
      </c>
      <c r="C6941">
        <v>337727</v>
      </c>
      <c r="D6941">
        <v>744</v>
      </c>
    </row>
    <row r="6942" spans="1:4" x14ac:dyDescent="0.25">
      <c r="A6942" t="str">
        <f>T("   850440")</f>
        <v xml:space="preserve">   850440</v>
      </c>
      <c r="B6942" t="str">
        <f>T("   CONVERTISSEURS STATIQUES")</f>
        <v xml:space="preserve">   CONVERTISSEURS STATIQUES</v>
      </c>
      <c r="C6942">
        <v>1354164</v>
      </c>
      <c r="D6942">
        <v>70</v>
      </c>
    </row>
    <row r="6943" spans="1:4" x14ac:dyDescent="0.25">
      <c r="A6943" t="str">
        <f>T("   850490")</f>
        <v xml:space="preserve">   850490</v>
      </c>
      <c r="B6943" t="str">
        <f>T("   Parties de transformateurs, de bobines de réactance et selfs n.d.a.")</f>
        <v xml:space="preserve">   Parties de transformateurs, de bobines de réactance et selfs n.d.a.</v>
      </c>
      <c r="C6943">
        <v>117978</v>
      </c>
      <c r="D6943">
        <v>15</v>
      </c>
    </row>
    <row r="6944" spans="1:4" x14ac:dyDescent="0.25">
      <c r="A6944" t="str">
        <f>T("   851780")</f>
        <v xml:space="preserve">   851780</v>
      </c>
      <c r="B6944" t="s">
        <v>458</v>
      </c>
      <c r="C6944">
        <v>2106270</v>
      </c>
      <c r="D6944">
        <v>130.5</v>
      </c>
    </row>
    <row r="6945" spans="1:4" x14ac:dyDescent="0.25">
      <c r="A6945" t="str">
        <f>T("   851790")</f>
        <v xml:space="preserve">   851790</v>
      </c>
      <c r="B6945" t="s">
        <v>459</v>
      </c>
      <c r="C6945">
        <v>2106270</v>
      </c>
      <c r="D6945">
        <v>138</v>
      </c>
    </row>
    <row r="6946" spans="1:4" x14ac:dyDescent="0.25">
      <c r="A6946" t="str">
        <f>T("   852390")</f>
        <v xml:space="preserve">   852390</v>
      </c>
      <c r="B6946" t="str">
        <f>T("   SUPPORTS PRÉPARÉS POUR L'ENREGISTREMENT DU SON OU POUR ENREGISTREMENTS ANALOGUES, NON-ENREGISTRÉS (AUTRES QUE BANDES ET DISQUES MAGNÉTIQUES, CARTES MUNIES D'UNE PISTE MAGNÉTIQUE ET PRODUITS DU CHAPITRE 37)")</f>
        <v xml:space="preserve">   SUPPORTS PRÉPARÉS POUR L'ENREGISTREMENT DU SON OU POUR ENREGISTREMENTS ANALOGUES, NON-ENREGISTRÉS (AUTRES QUE BANDES ET DISQUES MAGNÉTIQUES, CARTES MUNIES D'UNE PISTE MAGNÉTIQUE ET PRODUITS DU CHAPITRE 37)</v>
      </c>
      <c r="C6946">
        <v>159915</v>
      </c>
      <c r="D6946">
        <v>1</v>
      </c>
    </row>
    <row r="6947" spans="1:4" x14ac:dyDescent="0.25">
      <c r="A6947" t="str">
        <f>T("   910529")</f>
        <v xml:space="preserve">   910529</v>
      </c>
      <c r="B6947" t="str">
        <f>T("   Pendules et horloges murales ne fonctionnant pas électriquement")</f>
        <v xml:space="preserve">   Pendules et horloges murales ne fonctionnant pas électriquement</v>
      </c>
      <c r="C6947">
        <v>40598</v>
      </c>
      <c r="D6947">
        <v>25</v>
      </c>
    </row>
    <row r="6948" spans="1:4" x14ac:dyDescent="0.25">
      <c r="A6948" t="str">
        <f>T("   940380")</f>
        <v xml:space="preserve">   940380</v>
      </c>
      <c r="B6948" t="str">
        <f>T("   Meubles en rotin, osier, bambou ou autres matières (sauf métal, bois et matières plastiques)")</f>
        <v xml:space="preserve">   Meubles en rotin, osier, bambou ou autres matières (sauf métal, bois et matières plastiques)</v>
      </c>
      <c r="C6948">
        <v>1093137</v>
      </c>
      <c r="D6948">
        <v>360</v>
      </c>
    </row>
    <row r="6949" spans="1:4" x14ac:dyDescent="0.25">
      <c r="A6949" t="str">
        <f>T("   950390")</f>
        <v xml:space="preserve">   950390</v>
      </c>
      <c r="B6949" t="str">
        <f>T("   Jouets, n.d.a.")</f>
        <v xml:space="preserve">   Jouets, n.d.a.</v>
      </c>
      <c r="C6949">
        <v>492690</v>
      </c>
      <c r="D6949">
        <v>732</v>
      </c>
    </row>
    <row r="6950" spans="1:4" x14ac:dyDescent="0.25">
      <c r="A6950" t="str">
        <f>T("   970300")</f>
        <v xml:space="preserve">   970300</v>
      </c>
      <c r="B6950" t="str">
        <f>T("   Productions originales de l'art statuaire ou de la sculpture, en toutes matières")</f>
        <v xml:space="preserve">   Productions originales de l'art statuaire ou de la sculpture, en toutes matières</v>
      </c>
      <c r="C6950">
        <v>274093</v>
      </c>
      <c r="D6950">
        <v>892</v>
      </c>
    </row>
    <row r="6951" spans="1:4" x14ac:dyDescent="0.25">
      <c r="A6951" t="str">
        <f>T("IS")</f>
        <v>IS</v>
      </c>
      <c r="B6951" t="str">
        <f>T("Islande")</f>
        <v>Islande</v>
      </c>
    </row>
    <row r="6952" spans="1:4" x14ac:dyDescent="0.25">
      <c r="A6952" t="str">
        <f>T("   ZZ_Total_Produit_SH6")</f>
        <v xml:space="preserve">   ZZ_Total_Produit_SH6</v>
      </c>
      <c r="B6952" t="str">
        <f>T("   ZZ_Total_Produit_SH6")</f>
        <v xml:space="preserve">   ZZ_Total_Produit_SH6</v>
      </c>
      <c r="C6952">
        <v>559193868.38900006</v>
      </c>
      <c r="D6952">
        <v>2104574</v>
      </c>
    </row>
    <row r="6953" spans="1:4" x14ac:dyDescent="0.25">
      <c r="A6953" t="str">
        <f>T("   030379")</f>
        <v xml:space="preserve">   030379</v>
      </c>
      <c r="B6953" t="s">
        <v>17</v>
      </c>
      <c r="C6953">
        <v>166522661</v>
      </c>
      <c r="D6953">
        <v>951540</v>
      </c>
    </row>
    <row r="6954" spans="1:4" x14ac:dyDescent="0.25">
      <c r="A6954" t="str">
        <f>T("   110100")</f>
        <v xml:space="preserve">   110100</v>
      </c>
      <c r="B6954" t="str">
        <f>T("   Farines de froment [blé] ou de méteil")</f>
        <v xml:space="preserve">   Farines de froment [blé] ou de méteil</v>
      </c>
      <c r="C6954">
        <v>29992636.388999999</v>
      </c>
      <c r="D6954">
        <v>115000</v>
      </c>
    </row>
    <row r="6955" spans="1:4" x14ac:dyDescent="0.25">
      <c r="A6955" t="str">
        <f>T("   382200")</f>
        <v xml:space="preserve">   382200</v>
      </c>
      <c r="B6955" t="s">
        <v>126</v>
      </c>
      <c r="C6955">
        <v>13020806</v>
      </c>
      <c r="D6955">
        <v>141</v>
      </c>
    </row>
    <row r="6956" spans="1:4" x14ac:dyDescent="0.25">
      <c r="A6956" t="str">
        <f>T("   842920")</f>
        <v xml:space="preserve">   842920</v>
      </c>
      <c r="B6956" t="str">
        <f>T("   Niveleuses autopropulsées")</f>
        <v xml:space="preserve">   Niveleuses autopropulsées</v>
      </c>
      <c r="C6956">
        <v>21884560</v>
      </c>
      <c r="D6956">
        <v>30000</v>
      </c>
    </row>
    <row r="6957" spans="1:4" x14ac:dyDescent="0.25">
      <c r="A6957" t="str">
        <f>T("   842951")</f>
        <v xml:space="preserve">   842951</v>
      </c>
      <c r="B6957" t="str">
        <f>T("   Chargeuses et chargeuses-pelleteuses, à chargement frontal, autopropulsées")</f>
        <v xml:space="preserve">   Chargeuses et chargeuses-pelleteuses, à chargement frontal, autopropulsées</v>
      </c>
      <c r="C6957">
        <v>9183440</v>
      </c>
      <c r="D6957">
        <v>30000</v>
      </c>
    </row>
    <row r="6958" spans="1:4" x14ac:dyDescent="0.25">
      <c r="A6958" t="str">
        <f>T("   842959")</f>
        <v xml:space="preserve">   842959</v>
      </c>
      <c r="B6958"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6958">
        <v>11697945</v>
      </c>
      <c r="D6958">
        <v>32000</v>
      </c>
    </row>
    <row r="6959" spans="1:4" x14ac:dyDescent="0.25">
      <c r="A6959" t="str">
        <f>T("   843149")</f>
        <v xml:space="preserve">   843149</v>
      </c>
      <c r="B6959" t="str">
        <f>T("   Parties de machines et appareils du n° 8426, 8429 ou 8430, n.d.a.")</f>
        <v xml:space="preserve">   Parties de machines et appareils du n° 8426, 8429 ou 8430, n.d.a.</v>
      </c>
      <c r="C6959">
        <v>2388184</v>
      </c>
      <c r="D6959">
        <v>37</v>
      </c>
    </row>
    <row r="6960" spans="1:4" x14ac:dyDescent="0.25">
      <c r="A6960" t="str">
        <f>T("   847990")</f>
        <v xml:space="preserve">   847990</v>
      </c>
      <c r="B6960" t="str">
        <f>T("   Parties de machines et appareils, y.c. les appareils mécaniques, n.d.a.")</f>
        <v xml:space="preserve">   Parties de machines et appareils, y.c. les appareils mécaniques, n.d.a.</v>
      </c>
      <c r="C6960">
        <v>199333</v>
      </c>
      <c r="D6960">
        <v>1</v>
      </c>
    </row>
    <row r="6961" spans="1:4" x14ac:dyDescent="0.25">
      <c r="A6961" t="str">
        <f>T("   850780")</f>
        <v xml:space="preserve">   850780</v>
      </c>
      <c r="B6961" t="str">
        <f>T("   Accumulateurs électriques (sauf hors d'usage et autres qu'au plomb, au nickel-cadmium ou au nickel-fer)")</f>
        <v xml:space="preserve">   Accumulateurs électriques (sauf hors d'usage et autres qu'au plomb, au nickel-cadmium ou au nickel-fer)</v>
      </c>
      <c r="C6961">
        <v>295182</v>
      </c>
      <c r="D6961">
        <v>171</v>
      </c>
    </row>
    <row r="6962" spans="1:4" x14ac:dyDescent="0.25">
      <c r="A6962" t="str">
        <f>T("   851719")</f>
        <v xml:space="preserve">   851719</v>
      </c>
      <c r="B6962" t="str">
        <f>T("   Postes téléphoniques d'usagers pour la téléphonie par fil; visiophones (sauf postes téléphoniques d'usagers par fil à combinés sans fil et parlophones)")</f>
        <v xml:space="preserve">   Postes téléphoniques d'usagers pour la téléphonie par fil; visiophones (sauf postes téléphoniques d'usagers par fil à combinés sans fil et parlophones)</v>
      </c>
      <c r="C6962">
        <v>7226055</v>
      </c>
      <c r="D6962">
        <v>2730</v>
      </c>
    </row>
    <row r="6963" spans="1:4" x14ac:dyDescent="0.25">
      <c r="A6963" t="str">
        <f>T("   851780")</f>
        <v xml:space="preserve">   851780</v>
      </c>
      <c r="B6963" t="s">
        <v>458</v>
      </c>
      <c r="C6963">
        <v>119838</v>
      </c>
      <c r="D6963">
        <v>8</v>
      </c>
    </row>
    <row r="6964" spans="1:4" x14ac:dyDescent="0.25">
      <c r="A6964" t="str">
        <f>T("   853690")</f>
        <v xml:space="preserve">   853690</v>
      </c>
      <c r="B6964" t="s">
        <v>474</v>
      </c>
      <c r="C6964">
        <v>334540</v>
      </c>
      <c r="D6964">
        <v>170</v>
      </c>
    </row>
    <row r="6965" spans="1:4" x14ac:dyDescent="0.25">
      <c r="A6965" t="str">
        <f>T("   870210")</f>
        <v xml:space="preserve">   870210</v>
      </c>
      <c r="B6965" t="s">
        <v>477</v>
      </c>
      <c r="C6965">
        <v>1200000</v>
      </c>
      <c r="D6965">
        <v>1100</v>
      </c>
    </row>
    <row r="6966" spans="1:4" x14ac:dyDescent="0.25">
      <c r="A6966" t="str">
        <f>T("   870422")</f>
        <v xml:space="preserve">   870422</v>
      </c>
      <c r="B6966" t="s">
        <v>487</v>
      </c>
      <c r="C6966">
        <v>1989465</v>
      </c>
      <c r="D6966">
        <v>42868</v>
      </c>
    </row>
    <row r="6967" spans="1:4" x14ac:dyDescent="0.25">
      <c r="A6967" t="str">
        <f>T("   870423")</f>
        <v xml:space="preserve">   870423</v>
      </c>
      <c r="B6967" t="s">
        <v>488</v>
      </c>
      <c r="C6967">
        <v>292651004</v>
      </c>
      <c r="D6967">
        <v>853994</v>
      </c>
    </row>
    <row r="6968" spans="1:4" x14ac:dyDescent="0.25">
      <c r="A6968" t="str">
        <f>T("   870530")</f>
        <v xml:space="preserve">   870530</v>
      </c>
      <c r="B6968" t="str">
        <f>T("   Voitures de lutte contre l'incendie (sauf véhicules affectés principalement au transport des sapeurs-pompiers)")</f>
        <v xml:space="preserve">   Voitures de lutte contre l'incendie (sauf véhicules affectés principalement au transport des sapeurs-pompiers)</v>
      </c>
      <c r="C6968">
        <v>92160</v>
      </c>
      <c r="D6968">
        <v>5012</v>
      </c>
    </row>
    <row r="6969" spans="1:4" x14ac:dyDescent="0.25">
      <c r="A6969" t="str">
        <f>T("   870590")</f>
        <v xml:space="preserve">   870590</v>
      </c>
      <c r="B6969" t="s">
        <v>491</v>
      </c>
      <c r="C6969">
        <v>121211</v>
      </c>
      <c r="D6969">
        <v>5012</v>
      </c>
    </row>
    <row r="6970" spans="1:4" x14ac:dyDescent="0.25">
      <c r="A6970" t="str">
        <f>T("   871680")</f>
        <v xml:space="preserve">   871680</v>
      </c>
      <c r="B6970" t="str">
        <f>T("   Véhicules dirigés à la main et autres véhicules non automobiles, autres que remorques et semi-remorques")</f>
        <v xml:space="preserve">   Véhicules dirigés à la main et autres véhicules non automobiles, autres que remorques et semi-remorques</v>
      </c>
      <c r="C6970">
        <v>274848</v>
      </c>
      <c r="D6970">
        <v>34790</v>
      </c>
    </row>
    <row r="6971" spans="1:4" x14ac:dyDescent="0.25">
      <c r="A6971" t="str">
        <f>T("IT")</f>
        <v>IT</v>
      </c>
      <c r="B6971" t="str">
        <f>T("Italie")</f>
        <v>Italie</v>
      </c>
    </row>
    <row r="6972" spans="1:4" x14ac:dyDescent="0.25">
      <c r="A6972" t="str">
        <f>T("   ZZ_Total_Produit_SH6")</f>
        <v xml:space="preserve">   ZZ_Total_Produit_SH6</v>
      </c>
      <c r="B6972" t="str">
        <f>T("   ZZ_Total_Produit_SH6")</f>
        <v xml:space="preserve">   ZZ_Total_Produit_SH6</v>
      </c>
      <c r="C6972">
        <v>14844618218</v>
      </c>
      <c r="D6972">
        <v>20476997.5</v>
      </c>
    </row>
    <row r="6973" spans="1:4" x14ac:dyDescent="0.25">
      <c r="A6973" t="str">
        <f>T("   020712")</f>
        <v xml:space="preserve">   020712</v>
      </c>
      <c r="B6973" t="str">
        <f>T("   COQS ET POULES [DES ESPÈCES DOMESTIQUES], NON-DÉCOUPÉS EN MORCEAUX, CONGELÉS")</f>
        <v xml:space="preserve">   COQS ET POULES [DES ESPÈCES DOMESTIQUES], NON-DÉCOUPÉS EN MORCEAUX, CONGELÉS</v>
      </c>
      <c r="C6973">
        <v>2821630262</v>
      </c>
      <c r="D6973">
        <v>4758668</v>
      </c>
    </row>
    <row r="6974" spans="1:4" x14ac:dyDescent="0.25">
      <c r="A6974" t="str">
        <f>T("   020714")</f>
        <v xml:space="preserve">   020714</v>
      </c>
      <c r="B6974" t="str">
        <f>T("   Morceaux et abats comestibles de coqs et de poules [des espèces domestiques], congelés")</f>
        <v xml:space="preserve">   Morceaux et abats comestibles de coqs et de poules [des espèces domestiques], congelés</v>
      </c>
      <c r="C6974">
        <v>499833145</v>
      </c>
      <c r="D6974">
        <v>841040</v>
      </c>
    </row>
    <row r="6975" spans="1:4" x14ac:dyDescent="0.25">
      <c r="A6975" t="str">
        <f>T("   020727")</f>
        <v xml:space="preserve">   020727</v>
      </c>
      <c r="B6975" t="str">
        <f>T("   Morceaux et abats comestibles de dindes et dindons [des espèces domestiques], congelés")</f>
        <v xml:space="preserve">   Morceaux et abats comestibles de dindes et dindons [des espèces domestiques], congelés</v>
      </c>
      <c r="C6975">
        <v>1315084900</v>
      </c>
      <c r="D6975">
        <v>2188081</v>
      </c>
    </row>
    <row r="6976" spans="1:4" x14ac:dyDescent="0.25">
      <c r="A6976" t="str">
        <f>T("   020736")</f>
        <v xml:space="preserve">   020736</v>
      </c>
      <c r="B6976" t="str">
        <f>T("   Morceaux et abats comestibles de canards, d'oies ou de pintades [des espèces domestiques], congelés (à l'excl. des foies gras)")</f>
        <v xml:space="preserve">   Morceaux et abats comestibles de canards, d'oies ou de pintades [des espèces domestiques], congelés (à l'excl. des foies gras)</v>
      </c>
      <c r="C6976">
        <v>7205721</v>
      </c>
      <c r="D6976">
        <v>26025</v>
      </c>
    </row>
    <row r="6977" spans="1:4" x14ac:dyDescent="0.25">
      <c r="A6977" t="str">
        <f>T("   040210")</f>
        <v xml:space="preserve">   040210</v>
      </c>
      <c r="B6977" t="str">
        <f>T("   Lait et crème de lait, en poudre, en granulés ou sous d'autres formes solides, d'une teneur en poids de matières grasses &lt;= 1,5%")</f>
        <v xml:space="preserve">   Lait et crème de lait, en poudre, en granulés ou sous d'autres formes solides, d'une teneur en poids de matières grasses &lt;= 1,5%</v>
      </c>
      <c r="C6977">
        <v>23350864</v>
      </c>
      <c r="D6977">
        <v>10077</v>
      </c>
    </row>
    <row r="6978" spans="1:4" x14ac:dyDescent="0.25">
      <c r="A6978" t="str">
        <f>T("   040299")</f>
        <v xml:space="preserve">   040299</v>
      </c>
      <c r="B6978" t="str">
        <f>T("   Lait et crème de lait, concentrés, additionnés de sucre ou d'autres édulcorants (à l'excl. des laits et crèmes de lait en poudre, en granulés ou sous d'autres formes solides)")</f>
        <v xml:space="preserve">   Lait et crème de lait, concentrés, additionnés de sucre ou d'autres édulcorants (à l'excl. des laits et crèmes de lait en poudre, en granulés ou sous d'autres formes solides)</v>
      </c>
      <c r="C6978">
        <v>55000000</v>
      </c>
      <c r="D6978">
        <v>142680</v>
      </c>
    </row>
    <row r="6979" spans="1:4" x14ac:dyDescent="0.25">
      <c r="A6979" t="str">
        <f>T("   080610")</f>
        <v xml:space="preserve">   080610</v>
      </c>
      <c r="B6979" t="str">
        <f>T("   Raisins, frais")</f>
        <v xml:space="preserve">   Raisins, frais</v>
      </c>
      <c r="C6979">
        <v>98006327</v>
      </c>
      <c r="D6979">
        <v>245506</v>
      </c>
    </row>
    <row r="6980" spans="1:4" x14ac:dyDescent="0.25">
      <c r="A6980" t="str">
        <f>T("   090121")</f>
        <v xml:space="preserve">   090121</v>
      </c>
      <c r="B6980" t="str">
        <f>T("   Café, torréfié, non décaféiné")</f>
        <v xml:space="preserve">   Café, torréfié, non décaféiné</v>
      </c>
      <c r="C6980">
        <v>7481096</v>
      </c>
      <c r="D6980">
        <v>1855</v>
      </c>
    </row>
    <row r="6981" spans="1:4" x14ac:dyDescent="0.25">
      <c r="A6981" t="str">
        <f>T("   110100")</f>
        <v xml:space="preserve">   110100</v>
      </c>
      <c r="B6981" t="str">
        <f>T("   Farines de froment [blé] ou de méteil")</f>
        <v xml:space="preserve">   Farines de froment [blé] ou de méteil</v>
      </c>
      <c r="C6981">
        <v>2221081</v>
      </c>
      <c r="D6981">
        <v>22000</v>
      </c>
    </row>
    <row r="6982" spans="1:4" x14ac:dyDescent="0.25">
      <c r="A6982" t="str">
        <f>T("   130190")</f>
        <v xml:space="preserve">   130190</v>
      </c>
      <c r="B6982" t="str">
        <f>T("   Gommes, résines, gommes-résines, baumes et autres oléorésines, naturelles (à l'excl. de la gomme arabique)")</f>
        <v xml:space="preserve">   Gommes, résines, gommes-résines, baumes et autres oléorésines, naturelles (à l'excl. de la gomme arabique)</v>
      </c>
      <c r="C6982">
        <v>39358</v>
      </c>
      <c r="D6982">
        <v>511</v>
      </c>
    </row>
    <row r="6983" spans="1:4" x14ac:dyDescent="0.25">
      <c r="A6983" t="str">
        <f>T("   140490")</f>
        <v xml:space="preserve">   140490</v>
      </c>
      <c r="B6983" t="str">
        <f>T("   Produits végétaux, n.d.a.")</f>
        <v xml:space="preserve">   Produits végétaux, n.d.a.</v>
      </c>
      <c r="C6983">
        <v>704501</v>
      </c>
      <c r="D6983">
        <v>276</v>
      </c>
    </row>
    <row r="6984" spans="1:4" x14ac:dyDescent="0.25">
      <c r="A6984" t="str">
        <f>T("   150910")</f>
        <v xml:space="preserve">   150910</v>
      </c>
      <c r="B6984" t="str">
        <f>T("   Huile d'olive vierge et ses fractions, obtenues, à partir des fruits de l'olivier, uniquement par des procédés mécaniques ou physiques, dans des conditions n'altérant pas l'huile")</f>
        <v xml:space="preserve">   Huile d'olive vierge et ses fractions, obtenues, à partir des fruits de l'olivier, uniquement par des procédés mécaniques ou physiques, dans des conditions n'altérant pas l'huile</v>
      </c>
      <c r="C6984">
        <v>4114305</v>
      </c>
      <c r="D6984">
        <v>2168</v>
      </c>
    </row>
    <row r="6985" spans="1:4" x14ac:dyDescent="0.25">
      <c r="A6985" t="str">
        <f>T("   150990")</f>
        <v xml:space="preserve">   150990</v>
      </c>
      <c r="B6985" t="str">
        <f>T("   Huile d'olive et ses fractions, traitées mais non chimiquement modifiées, obtenues, à partir des fruits de l'olivier, uniquement par des procédés mécaniques ou physiques, dans des conditions n'altérant pas l'huile")</f>
        <v xml:space="preserve">   Huile d'olive et ses fractions, traitées mais non chimiquement modifiées, obtenues, à partir des fruits de l'olivier, uniquement par des procédés mécaniques ou physiques, dans des conditions n'altérant pas l'huile</v>
      </c>
      <c r="C6985">
        <v>8470628</v>
      </c>
      <c r="D6985">
        <v>27913</v>
      </c>
    </row>
    <row r="6986" spans="1:4" x14ac:dyDescent="0.25">
      <c r="A6986" t="str">
        <f>T("   160100")</f>
        <v xml:space="preserve">   160100</v>
      </c>
      <c r="B6986" t="str">
        <f>T("   Saucisses, saucissons et produits simil., de viande, d'abats ou de sang; préparations alimentaires à base de ces produits")</f>
        <v xml:space="preserve">   Saucisses, saucissons et produits simil., de viande, d'abats ou de sang; préparations alimentaires à base de ces produits</v>
      </c>
      <c r="C6986">
        <v>33206007</v>
      </c>
      <c r="D6986">
        <v>55328</v>
      </c>
    </row>
    <row r="6987" spans="1:4" x14ac:dyDescent="0.25">
      <c r="A6987" t="str">
        <f>T("   160232")</f>
        <v xml:space="preserve">   160232</v>
      </c>
      <c r="B6987" t="s">
        <v>39</v>
      </c>
      <c r="C6987">
        <v>15305515</v>
      </c>
      <c r="D6987">
        <v>25500</v>
      </c>
    </row>
    <row r="6988" spans="1:4" x14ac:dyDescent="0.25">
      <c r="A6988" t="str">
        <f>T("   160413")</f>
        <v xml:space="preserve">   160413</v>
      </c>
      <c r="B6988" t="str">
        <f>T("   Préparations et conserves de sardines, sardinelles, sprats ou esprots, entiers ou en morceaux (à l'excl. des préparations et conserves de poissons hachés)")</f>
        <v xml:space="preserve">   Préparations et conserves de sardines, sardinelles, sprats ou esprots, entiers ou en morceaux (à l'excl. des préparations et conserves de poissons hachés)</v>
      </c>
      <c r="C6988">
        <v>4000000</v>
      </c>
      <c r="D6988">
        <v>33720</v>
      </c>
    </row>
    <row r="6989" spans="1:4" x14ac:dyDescent="0.25">
      <c r="A6989" t="str">
        <f>T("   170199")</f>
        <v xml:space="preserve">   170199</v>
      </c>
      <c r="B6989"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6989">
        <v>202317</v>
      </c>
      <c r="D6989">
        <v>33</v>
      </c>
    </row>
    <row r="6990" spans="1:4" x14ac:dyDescent="0.25">
      <c r="A6990" t="str">
        <f>T("   170490")</f>
        <v xml:space="preserve">   170490</v>
      </c>
      <c r="B6990" t="str">
        <f>T("   Sucreries sans cacao, y.c. le chocolat blanc (à l'excl. des gommes à mâcher)")</f>
        <v xml:space="preserve">   Sucreries sans cacao, y.c. le chocolat blanc (à l'excl. des gommes à mâcher)</v>
      </c>
      <c r="C6990">
        <v>62279</v>
      </c>
      <c r="D6990">
        <v>975</v>
      </c>
    </row>
    <row r="6991" spans="1:4" x14ac:dyDescent="0.25">
      <c r="A6991" t="str">
        <f>T("   180610")</f>
        <v xml:space="preserve">   180610</v>
      </c>
      <c r="B6991" t="str">
        <f>T("   Poudre de cacao, additionnée de sucre ou d'autres édulcorants")</f>
        <v xml:space="preserve">   Poudre de cacao, additionnée de sucre ou d'autres édulcorants</v>
      </c>
      <c r="C6991">
        <v>648745</v>
      </c>
      <c r="D6991">
        <v>882</v>
      </c>
    </row>
    <row r="6992" spans="1:4" x14ac:dyDescent="0.25">
      <c r="A6992" t="str">
        <f>T("   180690")</f>
        <v xml:space="preserve">   180690</v>
      </c>
      <c r="B6992" t="str">
        <f>T("   Chocolat et autres préparations alimentaires contenant du cacao, en récipients ou en emballages immédiats d'un contenu &lt;= 2 kg (à l'excl. de la poudre de cacao et des produits présentés en tablettes, barres ou bâtons)")</f>
        <v xml:space="preserve">   Chocolat et autres préparations alimentaires contenant du cacao, en récipients ou en emballages immédiats d'un contenu &lt;= 2 kg (à l'excl. de la poudre de cacao et des produits présentés en tablettes, barres ou bâtons)</v>
      </c>
      <c r="C6992">
        <v>4051209</v>
      </c>
      <c r="D6992">
        <v>5753</v>
      </c>
    </row>
    <row r="6993" spans="1:4" x14ac:dyDescent="0.25">
      <c r="A6993" t="str">
        <f>T("   190110")</f>
        <v xml:space="preserve">   190110</v>
      </c>
      <c r="B6993" t="s">
        <v>47</v>
      </c>
      <c r="C6993">
        <v>242666</v>
      </c>
      <c r="D6993">
        <v>41</v>
      </c>
    </row>
    <row r="6994" spans="1:4" x14ac:dyDescent="0.25">
      <c r="A6994" t="str">
        <f>T("   190219")</f>
        <v xml:space="preserve">   190219</v>
      </c>
      <c r="B6994" t="str">
        <f>T("   PÂTES ALIMENTAIRES NON-CUITES NI FARCIES NI AUTREMENT PRÉPARÉES, NE CONTENANT PAS D'OEUFS")</f>
        <v xml:space="preserve">   PÂTES ALIMENTAIRES NON-CUITES NI FARCIES NI AUTREMENT PRÉPARÉES, NE CONTENANT PAS D'OEUFS</v>
      </c>
      <c r="C6994">
        <v>58541367</v>
      </c>
      <c r="D6994">
        <v>170857</v>
      </c>
    </row>
    <row r="6995" spans="1:4" x14ac:dyDescent="0.25">
      <c r="A6995" t="str">
        <f>T("   190220")</f>
        <v xml:space="preserve">   190220</v>
      </c>
      <c r="B6995" t="str">
        <f>T("   Pâtes alimentaires, farcies de viande ou d'autres substances, même cuites ou autrement préparées")</f>
        <v xml:space="preserve">   Pâtes alimentaires, farcies de viande ou d'autres substances, même cuites ou autrement préparées</v>
      </c>
      <c r="C6995">
        <v>961447</v>
      </c>
      <c r="D6995">
        <v>600</v>
      </c>
    </row>
    <row r="6996" spans="1:4" x14ac:dyDescent="0.25">
      <c r="A6996" t="str">
        <f>T("   190230")</f>
        <v xml:space="preserve">   190230</v>
      </c>
      <c r="B6996" t="str">
        <f>T("   Pâtes alimentaires, cuites ou autrement préparées (à l'excl. des pâtes alimentaires farcies)")</f>
        <v xml:space="preserve">   Pâtes alimentaires, cuites ou autrement préparées (à l'excl. des pâtes alimentaires farcies)</v>
      </c>
      <c r="C6996">
        <v>31500044</v>
      </c>
      <c r="D6996">
        <v>273690</v>
      </c>
    </row>
    <row r="6997" spans="1:4" x14ac:dyDescent="0.25">
      <c r="A6997" t="str">
        <f>T("   190531")</f>
        <v xml:space="preserve">   190531</v>
      </c>
      <c r="B6997" t="str">
        <f>T("   Biscuits additionnés d'édulcorants")</f>
        <v xml:space="preserve">   Biscuits additionnés d'édulcorants</v>
      </c>
      <c r="C6997">
        <v>34373491</v>
      </c>
      <c r="D6997">
        <v>39913</v>
      </c>
    </row>
    <row r="6998" spans="1:4" x14ac:dyDescent="0.25">
      <c r="A6998" t="str">
        <f>T("   190532")</f>
        <v xml:space="preserve">   190532</v>
      </c>
      <c r="B6998" t="str">
        <f>T("   GAUFRES ET GAUFRETTES")</f>
        <v xml:space="preserve">   GAUFRES ET GAUFRETTES</v>
      </c>
      <c r="C6998">
        <v>23286228</v>
      </c>
      <c r="D6998">
        <v>11917</v>
      </c>
    </row>
    <row r="6999" spans="1:4" x14ac:dyDescent="0.25">
      <c r="A6999" t="str">
        <f>T("   190540")</f>
        <v xml:space="preserve">   190540</v>
      </c>
      <c r="B6999" t="str">
        <f>T("   Biscottes, pain grillé et produits simil. grillés")</f>
        <v xml:space="preserve">   Biscottes, pain grillé et produits simil. grillés</v>
      </c>
      <c r="C6999">
        <v>6737936</v>
      </c>
      <c r="D6999">
        <v>5520</v>
      </c>
    </row>
    <row r="7000" spans="1:4" x14ac:dyDescent="0.25">
      <c r="A7000" t="str">
        <f>T("   190590")</f>
        <v xml:space="preserve">   190590</v>
      </c>
      <c r="B7000" t="s">
        <v>51</v>
      </c>
      <c r="C7000">
        <v>10215187</v>
      </c>
      <c r="D7000">
        <v>7943</v>
      </c>
    </row>
    <row r="7001" spans="1:4" x14ac:dyDescent="0.25">
      <c r="A7001" t="str">
        <f>T("   200210")</f>
        <v xml:space="preserve">   200210</v>
      </c>
      <c r="B7001" t="str">
        <f>T("   Tomates, entières ou en morceaux, préparées ou conservées autrement qu'au vinaigre ou à l'acide acétique")</f>
        <v xml:space="preserve">   Tomates, entières ou en morceaux, préparées ou conservées autrement qu'au vinaigre ou à l'acide acétique</v>
      </c>
      <c r="C7001">
        <v>5554669</v>
      </c>
      <c r="D7001">
        <v>12220</v>
      </c>
    </row>
    <row r="7002" spans="1:4" x14ac:dyDescent="0.25">
      <c r="A7002" t="str">
        <f>T("   200290")</f>
        <v xml:space="preserve">   200290</v>
      </c>
      <c r="B7002"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7002">
        <v>337456888</v>
      </c>
      <c r="D7002">
        <v>2249366</v>
      </c>
    </row>
    <row r="7003" spans="1:4" x14ac:dyDescent="0.25">
      <c r="A7003" t="str">
        <f>T("   200310")</f>
        <v xml:space="preserve">   200310</v>
      </c>
      <c r="B7003" t="str">
        <f>T("   Champignons du genre 'Agaricus', préparés ou conservés autrement qu'au vinaigre ou à l'acide acétique")</f>
        <v xml:space="preserve">   Champignons du genre 'Agaricus', préparés ou conservés autrement qu'au vinaigre ou à l'acide acétique</v>
      </c>
      <c r="C7003">
        <v>137096</v>
      </c>
      <c r="D7003">
        <v>1222</v>
      </c>
    </row>
    <row r="7004" spans="1:4" x14ac:dyDescent="0.25">
      <c r="A7004" t="str">
        <f>T("   200390")</f>
        <v xml:space="preserve">   200390</v>
      </c>
      <c r="B7004" t="str">
        <f>T("   Champignons, préparés ou conservés autrement qu'au vinaigre ou à l'acide acétique (à l'excl. des champignons du genre 'Agaricus')")</f>
        <v xml:space="preserve">   Champignons, préparés ou conservés autrement qu'au vinaigre ou à l'acide acétique (à l'excl. des champignons du genre 'Agaricus')</v>
      </c>
      <c r="C7004">
        <v>739923</v>
      </c>
      <c r="D7004">
        <v>1834</v>
      </c>
    </row>
    <row r="7005" spans="1:4" x14ac:dyDescent="0.25">
      <c r="A7005" t="str">
        <f>T("   200540")</f>
        <v xml:space="preserve">   200540</v>
      </c>
      <c r="B7005" t="str">
        <f>T("   Pois [Pisum sativum], préparés ou conservés autrement qu'au vinaigre ou à l'acide acétique, non congelés")</f>
        <v xml:space="preserve">   Pois [Pisum sativum], préparés ou conservés autrement qu'au vinaigre ou à l'acide acétique, non congelés</v>
      </c>
      <c r="C7005">
        <v>1750757</v>
      </c>
      <c r="D7005">
        <v>9563</v>
      </c>
    </row>
    <row r="7006" spans="1:4" x14ac:dyDescent="0.25">
      <c r="A7006" t="str">
        <f>T("   200580")</f>
        <v xml:space="preserve">   200580</v>
      </c>
      <c r="B7006" t="str">
        <f>T("   Maïs doux [Zea mays var. saccharata], préparé ou conservé autrement qu'au vinaigre ou à l'acide acétique, non congelé")</f>
        <v xml:space="preserve">   Maïs doux [Zea mays var. saccharata], préparé ou conservé autrement qu'au vinaigre ou à l'acide acétique, non congelé</v>
      </c>
      <c r="C7006">
        <v>50509</v>
      </c>
      <c r="D7006">
        <v>469</v>
      </c>
    </row>
    <row r="7007" spans="1:4" x14ac:dyDescent="0.25">
      <c r="A7007" t="str">
        <f>T("   200590")</f>
        <v xml:space="preserve">   200590</v>
      </c>
      <c r="B7007" t="s">
        <v>52</v>
      </c>
      <c r="C7007">
        <v>1407796</v>
      </c>
      <c r="D7007">
        <v>6932</v>
      </c>
    </row>
    <row r="7008" spans="1:4" x14ac:dyDescent="0.25">
      <c r="A7008" t="str">
        <f>T("   200840")</f>
        <v xml:space="preserve">   200840</v>
      </c>
      <c r="B7008" t="str">
        <f>T("   Poires, préparées ou conservées, avec ou sans addition de sucre ou d'autres édulcorants ou d'alcool, n.d.a.")</f>
        <v xml:space="preserve">   Poires, préparées ou conservées, avec ou sans addition de sucre ou d'autres édulcorants ou d'alcool, n.d.a.</v>
      </c>
      <c r="C7008">
        <v>10496</v>
      </c>
      <c r="D7008">
        <v>90</v>
      </c>
    </row>
    <row r="7009" spans="1:4" x14ac:dyDescent="0.25">
      <c r="A7009" t="str">
        <f>T("   200892")</f>
        <v xml:space="preserve">   200892</v>
      </c>
      <c r="B7009" t="s">
        <v>57</v>
      </c>
      <c r="C7009">
        <v>54445</v>
      </c>
      <c r="D7009">
        <v>482</v>
      </c>
    </row>
    <row r="7010" spans="1:4" x14ac:dyDescent="0.25">
      <c r="A7010" t="str">
        <f>T("   210320")</f>
        <v xml:space="preserve">   210320</v>
      </c>
      <c r="B7010" t="str">
        <f>T("   Tomato ketchup et autres sauces tomates")</f>
        <v xml:space="preserve">   Tomato ketchup et autres sauces tomates</v>
      </c>
      <c r="C7010">
        <v>1582675</v>
      </c>
      <c r="D7010">
        <v>3260</v>
      </c>
    </row>
    <row r="7011" spans="1:4" x14ac:dyDescent="0.25">
      <c r="A7011" t="str">
        <f>T("   210390")</f>
        <v xml:space="preserve">   210390</v>
      </c>
      <c r="B7011"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7011">
        <v>16256008</v>
      </c>
      <c r="D7011">
        <v>154862</v>
      </c>
    </row>
    <row r="7012" spans="1:4" x14ac:dyDescent="0.25">
      <c r="A7012" t="str">
        <f>T("   210690")</f>
        <v xml:space="preserve">   210690</v>
      </c>
      <c r="B7012" t="str">
        <f>T("   Préparations alimentaires, n.d.a.")</f>
        <v xml:space="preserve">   Préparations alimentaires, n.d.a.</v>
      </c>
      <c r="C7012">
        <v>9913326</v>
      </c>
      <c r="D7012">
        <v>19046</v>
      </c>
    </row>
    <row r="7013" spans="1:4" x14ac:dyDescent="0.25">
      <c r="A7013" t="str">
        <f>T("   220190")</f>
        <v xml:space="preserve">   220190</v>
      </c>
      <c r="B7013" t="str">
        <f>T("   Eaux, non additionnées de sucre ou d'autres édulcorants ni aromatisées (à l'excl. des eaux minérales, des eaux gazéifiées, de l'eau de mer ainsi que des eaux distillées, de conductibilité ou de même degré de pureté); glace et neige")</f>
        <v xml:space="preserve">   Eaux, non additionnées de sucre ou d'autres édulcorants ni aromatisées (à l'excl. des eaux minérales, des eaux gazéifiées, de l'eau de mer ainsi que des eaux distillées, de conductibilité ou de même degré de pureté); glace et neige</v>
      </c>
      <c r="C7013">
        <v>27675</v>
      </c>
      <c r="D7013">
        <v>104</v>
      </c>
    </row>
    <row r="7014" spans="1:4" x14ac:dyDescent="0.25">
      <c r="A7014" t="str">
        <f>T("   220410")</f>
        <v xml:space="preserve">   220410</v>
      </c>
      <c r="B7014" t="str">
        <f>T("   Vins mousseux produits à partir de raisins frais")</f>
        <v xml:space="preserve">   Vins mousseux produits à partir de raisins frais</v>
      </c>
      <c r="C7014">
        <v>7613675</v>
      </c>
      <c r="D7014">
        <v>14988</v>
      </c>
    </row>
    <row r="7015" spans="1:4" x14ac:dyDescent="0.25">
      <c r="A7015" t="str">
        <f>T("   220421")</f>
        <v xml:space="preserve">   220421</v>
      </c>
      <c r="B7015" t="str">
        <f>T("   Vins de raisins frais, y.c. les vins enrichis en alcool (à l'excl. des vins mousseux); moûts de raisins dont la fermentation a été empêchée ou arrêtée par addition d'alcool, en récipients d'une contenance &lt;= 2 l")</f>
        <v xml:space="preserve">   Vins de raisins frais, y.c. les vins enrichis en alcool (à l'excl. des vins mousseux); moûts de raisins dont la fermentation a été empêchée ou arrêtée par addition d'alcool, en récipients d'une contenance &lt;= 2 l</v>
      </c>
      <c r="C7015">
        <v>26189171</v>
      </c>
      <c r="D7015">
        <v>42727</v>
      </c>
    </row>
    <row r="7016" spans="1:4" x14ac:dyDescent="0.25">
      <c r="A7016" t="str">
        <f>T("   220429")</f>
        <v xml:space="preserve">   220429</v>
      </c>
      <c r="B7016" t="str">
        <f>T("   VINS DE RAISINS FRAIS, Y.C. LES VINS ENRICHIS EN ALCOOL, ET MOÛTS DE RAISINS DONT LA FERMENTATION A ÉTÉ EMPÊCHÉE OU ARRÊTÉE PAR ADDITION D'ALCOOL, EN RÉCIPIENTS D'UNE CONTENANCE &gt; 2 L (À L'EXCL. DES VINS MOUSSEUX)")</f>
        <v xml:space="preserve">   VINS DE RAISINS FRAIS, Y.C. LES VINS ENRICHIS EN ALCOOL, ET MOÛTS DE RAISINS DONT LA FERMENTATION A ÉTÉ EMPÊCHÉE OU ARRÊTÉE PAR ADDITION D'ALCOOL, EN RÉCIPIENTS D'UNE CONTENANCE &gt; 2 L (À L'EXCL. DES VINS MOUSSEUX)</v>
      </c>
      <c r="C7016">
        <v>2107599</v>
      </c>
      <c r="D7016">
        <v>2750</v>
      </c>
    </row>
    <row r="7017" spans="1:4" x14ac:dyDescent="0.25">
      <c r="A7017" t="str">
        <f>T("   220510")</f>
        <v xml:space="preserve">   220510</v>
      </c>
      <c r="B7017" t="str">
        <f>T("   Vermouths et autres vins de raisins frais préparés à l'aide de plantes ou de substances aromatiques, en récipients d'une contenance &lt;= 2 l")</f>
        <v xml:space="preserve">   Vermouths et autres vins de raisins frais préparés à l'aide de plantes ou de substances aromatiques, en récipients d'une contenance &lt;= 2 l</v>
      </c>
      <c r="C7017">
        <v>70231471</v>
      </c>
      <c r="D7017">
        <v>125855</v>
      </c>
    </row>
    <row r="7018" spans="1:4" x14ac:dyDescent="0.25">
      <c r="A7018" t="str">
        <f>T("   220870")</f>
        <v xml:space="preserve">   220870</v>
      </c>
      <c r="B7018" t="str">
        <f>T("   LIQUEURS")</f>
        <v xml:space="preserve">   LIQUEURS</v>
      </c>
      <c r="C7018">
        <v>177090</v>
      </c>
      <c r="D7018">
        <v>90</v>
      </c>
    </row>
    <row r="7019" spans="1:4" x14ac:dyDescent="0.25">
      <c r="A7019" t="str">
        <f>T("   220900")</f>
        <v xml:space="preserve">   220900</v>
      </c>
      <c r="B7019" t="str">
        <f>T("   Vinaigres comestibles et succédanés de vinaigre comestibles obtenus à partir d'acide acétique")</f>
        <v xml:space="preserve">   Vinaigres comestibles et succédanés de vinaigre comestibles obtenus à partir d'acide acétique</v>
      </c>
      <c r="C7019">
        <v>29197</v>
      </c>
      <c r="D7019">
        <v>16</v>
      </c>
    </row>
    <row r="7020" spans="1:4" x14ac:dyDescent="0.25">
      <c r="A7020" t="str">
        <f>T("   250510")</f>
        <v xml:space="preserve">   250510</v>
      </c>
      <c r="B7020" t="str">
        <f>T("   Sables siliceux et sables quartzeux, même colorés")</f>
        <v xml:space="preserve">   Sables siliceux et sables quartzeux, même colorés</v>
      </c>
      <c r="C7020">
        <v>3488933</v>
      </c>
      <c r="D7020">
        <v>23920</v>
      </c>
    </row>
    <row r="7021" spans="1:4" x14ac:dyDescent="0.25">
      <c r="A7021" t="str">
        <f>T("   251741")</f>
        <v xml:space="preserve">   251741</v>
      </c>
      <c r="B7021" t="str">
        <f>T("   Granulés, éclats et poudres de marbre, même traités thermiquement")</f>
        <v xml:space="preserve">   Granulés, éclats et poudres de marbre, même traités thermiquement</v>
      </c>
      <c r="C7021">
        <v>2901311</v>
      </c>
      <c r="D7021">
        <v>20930</v>
      </c>
    </row>
    <row r="7022" spans="1:4" x14ac:dyDescent="0.25">
      <c r="A7022" t="str">
        <f>T("   252329")</f>
        <v xml:space="preserve">   252329</v>
      </c>
      <c r="B7022" t="str">
        <f>T("   Ciment Portland normal ou modéré (à l'excl. des ciments Portland blancs, même colorés artificiellement)")</f>
        <v xml:space="preserve">   Ciment Portland normal ou modéré (à l'excl. des ciments Portland blancs, même colorés artificiellement)</v>
      </c>
      <c r="C7022">
        <v>5320000</v>
      </c>
      <c r="D7022">
        <v>140000</v>
      </c>
    </row>
    <row r="7023" spans="1:4" x14ac:dyDescent="0.25">
      <c r="A7023" t="str">
        <f>T("   270730")</f>
        <v xml:space="preserve">   270730</v>
      </c>
      <c r="B7023" t="str">
        <f>T("   XYLOL 'XYLÈNES' CONTENANT &gt; 50% DE XYLÈNES (À L'EXCL. DES PRODUITS DE CONSTITUTION CHIMIQUE DÉFINIE)")</f>
        <v xml:space="preserve">   XYLOL 'XYLÈNES' CONTENANT &gt; 50% DE XYLÈNES (À L'EXCL. DES PRODUITS DE CONSTITUTION CHIMIQUE DÉFINIE)</v>
      </c>
      <c r="C7023">
        <v>13305492</v>
      </c>
      <c r="D7023">
        <v>28800</v>
      </c>
    </row>
    <row r="7024" spans="1:4" x14ac:dyDescent="0.25">
      <c r="A7024" t="str">
        <f>T("   271019")</f>
        <v xml:space="preserve">   271019</v>
      </c>
      <c r="B7024" t="str">
        <f>T("   Huiles moyennes et préparations, de pétrole ou de minéraux bitumineux, n.d.a.")</f>
        <v xml:space="preserve">   Huiles moyennes et préparations, de pétrole ou de minéraux bitumineux, n.d.a.</v>
      </c>
      <c r="C7024">
        <v>8725580</v>
      </c>
      <c r="D7024">
        <v>12515</v>
      </c>
    </row>
    <row r="7025" spans="1:4" x14ac:dyDescent="0.25">
      <c r="A7025" t="str">
        <f>T("   271490")</f>
        <v xml:space="preserve">   271490</v>
      </c>
      <c r="B7025" t="str">
        <f>T("   Bitumes et asphaltes, naturels; asphaltites et roches asphaltiques")</f>
        <v xml:space="preserve">   Bitumes et asphaltes, naturels; asphaltites et roches asphaltiques</v>
      </c>
      <c r="C7025">
        <v>41501277</v>
      </c>
      <c r="D7025">
        <v>137760</v>
      </c>
    </row>
    <row r="7026" spans="1:4" x14ac:dyDescent="0.25">
      <c r="A7026" t="str">
        <f>T("   271500")</f>
        <v xml:space="preserve">   271500</v>
      </c>
      <c r="B7026" t="str">
        <f>T("   Mastics bitumineux, 'cut-backs' et autres mélanges bitumineux à base d'asphalte ou de bitume naturels, de bitume de pétrole, de goudron minéral ou de brai de goudron minéral")</f>
        <v xml:space="preserve">   Mastics bitumineux, 'cut-backs' et autres mélanges bitumineux à base d'asphalte ou de bitume naturels, de bitume de pétrole, de goudron minéral ou de brai de goudron minéral</v>
      </c>
      <c r="C7026">
        <v>74076796</v>
      </c>
      <c r="D7026">
        <v>255000</v>
      </c>
    </row>
    <row r="7027" spans="1:4" x14ac:dyDescent="0.25">
      <c r="A7027" t="str">
        <f>T("   280700")</f>
        <v xml:space="preserve">   280700</v>
      </c>
      <c r="B7027" t="str">
        <f>T("   Acide sulfurique; oléum")</f>
        <v xml:space="preserve">   Acide sulfurique; oléum</v>
      </c>
      <c r="C7027">
        <v>1562457</v>
      </c>
      <c r="D7027">
        <v>835</v>
      </c>
    </row>
    <row r="7028" spans="1:4" x14ac:dyDescent="0.25">
      <c r="A7028" t="str">
        <f>T("   282110")</f>
        <v xml:space="preserve">   282110</v>
      </c>
      <c r="B7028" t="str">
        <f>T("   Oxydes et hydroxydes de fer")</f>
        <v xml:space="preserve">   Oxydes et hydroxydes de fer</v>
      </c>
      <c r="C7028">
        <v>11988286</v>
      </c>
      <c r="D7028">
        <v>6030</v>
      </c>
    </row>
    <row r="7029" spans="1:4" x14ac:dyDescent="0.25">
      <c r="A7029" t="str">
        <f>T("   282300")</f>
        <v xml:space="preserve">   282300</v>
      </c>
      <c r="B7029" t="str">
        <f>T("   Oxydes de titane")</f>
        <v xml:space="preserve">   Oxydes de titane</v>
      </c>
      <c r="C7029">
        <v>37114873</v>
      </c>
      <c r="D7029">
        <v>20000</v>
      </c>
    </row>
    <row r="7030" spans="1:4" x14ac:dyDescent="0.25">
      <c r="A7030" t="str">
        <f>T("   282731")</f>
        <v xml:space="preserve">   282731</v>
      </c>
      <c r="B7030" t="str">
        <f>T("   Chlorure de magnésium")</f>
        <v xml:space="preserve">   Chlorure de magnésium</v>
      </c>
      <c r="C7030">
        <v>1700904</v>
      </c>
      <c r="D7030">
        <v>1926</v>
      </c>
    </row>
    <row r="7031" spans="1:4" x14ac:dyDescent="0.25">
      <c r="A7031" t="str">
        <f>T("   283650")</f>
        <v xml:space="preserve">   283650</v>
      </c>
      <c r="B7031" t="str">
        <f>T("   Carbonate de calcium")</f>
        <v xml:space="preserve">   Carbonate de calcium</v>
      </c>
      <c r="C7031">
        <v>9578190</v>
      </c>
      <c r="D7031">
        <v>95200</v>
      </c>
    </row>
    <row r="7032" spans="1:4" x14ac:dyDescent="0.25">
      <c r="A7032" t="str">
        <f>T("   290241")</f>
        <v xml:space="preserve">   290241</v>
      </c>
      <c r="B7032" t="str">
        <f>T("   o-Xylène")</f>
        <v xml:space="preserve">   o-Xylène</v>
      </c>
      <c r="C7032">
        <v>67408772</v>
      </c>
      <c r="D7032">
        <v>132123</v>
      </c>
    </row>
    <row r="7033" spans="1:4" x14ac:dyDescent="0.25">
      <c r="A7033" t="str">
        <f>T("   291532")</f>
        <v xml:space="preserve">   291532</v>
      </c>
      <c r="B7033" t="str">
        <f>T("   Acétate de vinyle")</f>
        <v xml:space="preserve">   Acétate de vinyle</v>
      </c>
      <c r="C7033">
        <v>3565543</v>
      </c>
      <c r="D7033">
        <v>6000</v>
      </c>
    </row>
    <row r="7034" spans="1:4" x14ac:dyDescent="0.25">
      <c r="A7034" t="str">
        <f>T("   300490")</f>
        <v xml:space="preserve">   300490</v>
      </c>
      <c r="B7034" t="s">
        <v>80</v>
      </c>
      <c r="C7034">
        <v>34036239</v>
      </c>
      <c r="D7034">
        <v>5939</v>
      </c>
    </row>
    <row r="7035" spans="1:4" x14ac:dyDescent="0.25">
      <c r="A7035" t="str">
        <f>T("   300510")</f>
        <v xml:space="preserve">   300510</v>
      </c>
      <c r="B7035" t="str">
        <f>T("   Pansements adhésifs et autres articles ayant une couche adhésive, imprégnés ou recouverts de substances pharmaceutiques ou conditionnés pour la vente au détail à des fins médicales, chirurgicales, dentaires ou vétérinaires")</f>
        <v xml:space="preserve">   Pansements adhésifs et autres articles ayant une couche adhésive, imprégnés ou recouverts de substances pharmaceutiques ou conditionnés pour la vente au détail à des fins médicales, chirurgicales, dentaires ou vétérinaires</v>
      </c>
      <c r="C7035">
        <v>74996</v>
      </c>
      <c r="D7035">
        <v>40</v>
      </c>
    </row>
    <row r="7036" spans="1:4" x14ac:dyDescent="0.25">
      <c r="A7036" t="str">
        <f>T("   300670")</f>
        <v xml:space="preserve">   300670</v>
      </c>
      <c r="B7036" t="s">
        <v>83</v>
      </c>
      <c r="C7036">
        <v>4232325</v>
      </c>
      <c r="D7036">
        <v>7351</v>
      </c>
    </row>
    <row r="7037" spans="1:4" x14ac:dyDescent="0.25">
      <c r="A7037" t="str">
        <f>T("   320417")</f>
        <v xml:space="preserve">   320417</v>
      </c>
      <c r="B7037" t="s">
        <v>90</v>
      </c>
      <c r="C7037">
        <v>576405</v>
      </c>
      <c r="D7037">
        <v>281</v>
      </c>
    </row>
    <row r="7038" spans="1:4" x14ac:dyDescent="0.25">
      <c r="A7038" t="str">
        <f>T("   320620")</f>
        <v xml:space="preserve">   320620</v>
      </c>
      <c r="B7038" t="s">
        <v>94</v>
      </c>
      <c r="C7038">
        <v>3339440</v>
      </c>
      <c r="D7038">
        <v>1680</v>
      </c>
    </row>
    <row r="7039" spans="1:4" x14ac:dyDescent="0.25">
      <c r="A7039" t="str">
        <f>T("   320990")</f>
        <v xml:space="preserve">   320990</v>
      </c>
      <c r="B7039" t="str">
        <f>T("   Peintures et vernis à base de polymères synthétiques ou de polymères naturels modifiés, dispersés ou dissous dans un milieu aqueux (à l'excl. des produits à base de polymères acryliques ou vinyliques)")</f>
        <v xml:space="preserve">   Peintures et vernis à base de polymères synthétiques ou de polymères naturels modifiés, dispersés ou dissous dans un milieu aqueux (à l'excl. des produits à base de polymères acryliques ou vinyliques)</v>
      </c>
      <c r="C7039">
        <v>4691642</v>
      </c>
      <c r="D7039">
        <v>3234</v>
      </c>
    </row>
    <row r="7040" spans="1:4" x14ac:dyDescent="0.25">
      <c r="A7040" t="str">
        <f>T("   321000")</f>
        <v xml:space="preserve">   321000</v>
      </c>
      <c r="B7040" t="str">
        <f>T("   Peintures et vernis (à l'excl. des produits à base de polymères synthétiques ou de polymères naturels modifiés); pigments à l'eau préparés des types utilisés pour le finissage des cuirs")</f>
        <v xml:space="preserve">   Peintures et vernis (à l'excl. des produits à base de polymères synthétiques ou de polymères naturels modifiés); pigments à l'eau préparés des types utilisés pour le finissage des cuirs</v>
      </c>
      <c r="C7040">
        <v>142037</v>
      </c>
      <c r="D7040">
        <v>50</v>
      </c>
    </row>
    <row r="7041" spans="1:4" x14ac:dyDescent="0.25">
      <c r="A7041" t="str">
        <f>T("   330210")</f>
        <v xml:space="preserve">   330210</v>
      </c>
      <c r="B7041" t="str">
        <f>T("   Mélanges de substances odoriférantes et mélanges, y.c. les solutions alcooliques, à base d'une ou de plusieurs de ces substances, des types utilisés comme matières de base pour les industries des produits alimentaires et des boissons")</f>
        <v xml:space="preserve">   Mélanges de substances odoriférantes et mélanges, y.c. les solutions alcooliques, à base d'une ou de plusieurs de ces substances, des types utilisés comme matières de base pour les industries des produits alimentaires et des boissons</v>
      </c>
      <c r="C7041">
        <v>1014449</v>
      </c>
      <c r="D7041">
        <v>697</v>
      </c>
    </row>
    <row r="7042" spans="1:4" x14ac:dyDescent="0.25">
      <c r="A7042" t="str">
        <f>T("   330499")</f>
        <v xml:space="preserve">   330499</v>
      </c>
      <c r="B7042" t="s">
        <v>101</v>
      </c>
      <c r="C7042">
        <v>1228778</v>
      </c>
      <c r="D7042">
        <v>255</v>
      </c>
    </row>
    <row r="7043" spans="1:4" x14ac:dyDescent="0.25">
      <c r="A7043" t="str">
        <f>T("   330510")</f>
        <v xml:space="preserve">   330510</v>
      </c>
      <c r="B7043" t="str">
        <f>T("   Shampooings")</f>
        <v xml:space="preserve">   Shampooings</v>
      </c>
      <c r="C7043">
        <v>187605</v>
      </c>
      <c r="D7043">
        <v>372</v>
      </c>
    </row>
    <row r="7044" spans="1:4" x14ac:dyDescent="0.25">
      <c r="A7044" t="str">
        <f>T("   330720")</f>
        <v xml:space="preserve">   330720</v>
      </c>
      <c r="B7044" t="str">
        <f>T("   Désodorisants corporels et antisudoraux, préparés")</f>
        <v xml:space="preserve">   Désodorisants corporels et antisudoraux, préparés</v>
      </c>
      <c r="C7044">
        <v>2536598</v>
      </c>
      <c r="D7044">
        <v>2798</v>
      </c>
    </row>
    <row r="7045" spans="1:4" x14ac:dyDescent="0.25">
      <c r="A7045" t="str">
        <f>T("   340111")</f>
        <v xml:space="preserve">   340111</v>
      </c>
      <c r="B7045" t="s">
        <v>102</v>
      </c>
      <c r="C7045">
        <v>128699</v>
      </c>
      <c r="D7045">
        <v>122</v>
      </c>
    </row>
    <row r="7046" spans="1:4" x14ac:dyDescent="0.25">
      <c r="A7046" t="str">
        <f>T("   340219")</f>
        <v xml:space="preserve">   340219</v>
      </c>
      <c r="B7046" t="str">
        <f>T("   Agents de surface organiques, même conditionnés pour la vente au détail (à l'excl. des savons et des agents de surface anioniques, cationiques ou non ioniques)")</f>
        <v xml:space="preserve">   Agents de surface organiques, même conditionnés pour la vente au détail (à l'excl. des savons et des agents de surface anioniques, cationiques ou non ioniques)</v>
      </c>
      <c r="C7046">
        <v>1684716</v>
      </c>
      <c r="D7046">
        <v>2000</v>
      </c>
    </row>
    <row r="7047" spans="1:4" x14ac:dyDescent="0.25">
      <c r="A7047" t="str">
        <f>T("   340220")</f>
        <v xml:space="preserve">   340220</v>
      </c>
      <c r="B7047" t="s">
        <v>104</v>
      </c>
      <c r="C7047">
        <v>11066702</v>
      </c>
      <c r="D7047">
        <v>7706</v>
      </c>
    </row>
    <row r="7048" spans="1:4" x14ac:dyDescent="0.25">
      <c r="A7048" t="str">
        <f>T("   340290")</f>
        <v xml:space="preserve">   340290</v>
      </c>
      <c r="B7048" t="s">
        <v>105</v>
      </c>
      <c r="C7048">
        <v>5345027</v>
      </c>
      <c r="D7048">
        <v>2792</v>
      </c>
    </row>
    <row r="7049" spans="1:4" x14ac:dyDescent="0.25">
      <c r="A7049" t="str">
        <f>T("   340399")</f>
        <v xml:space="preserve">   340399</v>
      </c>
      <c r="B7049" t="s">
        <v>107</v>
      </c>
      <c r="C7049">
        <v>19741654</v>
      </c>
      <c r="D7049">
        <v>20788</v>
      </c>
    </row>
    <row r="7050" spans="1:4" x14ac:dyDescent="0.25">
      <c r="A7050" t="str">
        <f>T("   340590")</f>
        <v xml:space="preserve">   340590</v>
      </c>
      <c r="B7050" t="str">
        <f>T("   Brillants pour verre ou métaux, même sous forme de papier, ouates, feutres, nontissés, matière plastique ou caoutchouc alvéolaires, imprégnés, enduits ou recouverts de ces préparations")</f>
        <v xml:space="preserve">   Brillants pour verre ou métaux, même sous forme de papier, ouates, feutres, nontissés, matière plastique ou caoutchouc alvéolaires, imprégnés, enduits ou recouverts de ces préparations</v>
      </c>
      <c r="C7050">
        <v>960326</v>
      </c>
      <c r="D7050">
        <v>620</v>
      </c>
    </row>
    <row r="7051" spans="1:4" x14ac:dyDescent="0.25">
      <c r="A7051" t="str">
        <f>T("   340600")</f>
        <v xml:space="preserve">   340600</v>
      </c>
      <c r="B7051" t="str">
        <f>T("   Bougies, chandelles, cierges et articles simil.")</f>
        <v xml:space="preserve">   Bougies, chandelles, cierges et articles simil.</v>
      </c>
      <c r="C7051">
        <v>2924759</v>
      </c>
      <c r="D7051">
        <v>15043</v>
      </c>
    </row>
    <row r="7052" spans="1:4" x14ac:dyDescent="0.25">
      <c r="A7052" t="str">
        <f>T("   350610")</f>
        <v xml:space="preserve">   350610</v>
      </c>
      <c r="B7052" t="str">
        <f>T("   Produits de toute espèce à usage de colles ou d'adhésifs, conditionnés pour la vente au détail comme colles ou adhésifs, d'un poids net &lt;= 1 kg")</f>
        <v xml:space="preserve">   Produits de toute espèce à usage de colles ou d'adhésifs, conditionnés pour la vente au détail comme colles ou adhésifs, d'un poids net &lt;= 1 kg</v>
      </c>
      <c r="C7052">
        <v>22793298</v>
      </c>
      <c r="D7052">
        <v>47544</v>
      </c>
    </row>
    <row r="7053" spans="1:4" x14ac:dyDescent="0.25">
      <c r="A7053" t="str">
        <f>T("   350691")</f>
        <v xml:space="preserve">   350691</v>
      </c>
      <c r="B7053" t="str">
        <f>T("   Adhésifs à base de polymères du n° 3901 à 3913 ou de caoutchouc (à l'excl. des produits conditionnés pour la vente au détail comme colles ou adhésifs, d'un poids net &lt;= 1 kg)")</f>
        <v xml:space="preserve">   Adhésifs à base de polymères du n° 3901 à 3913 ou de caoutchouc (à l'excl. des produits conditionnés pour la vente au détail comme colles ou adhésifs, d'un poids net &lt;= 1 kg)</v>
      </c>
      <c r="C7053">
        <v>1163017</v>
      </c>
      <c r="D7053">
        <v>2000</v>
      </c>
    </row>
    <row r="7054" spans="1:4" x14ac:dyDescent="0.25">
      <c r="A7054" t="str">
        <f>T("   350699")</f>
        <v xml:space="preserve">   350699</v>
      </c>
      <c r="B7054" t="str">
        <f>T("   Colles et autres adhésifs préparés, n.d.a.")</f>
        <v xml:space="preserve">   Colles et autres adhésifs préparés, n.d.a.</v>
      </c>
      <c r="C7054">
        <v>7269349</v>
      </c>
      <c r="D7054">
        <v>16131</v>
      </c>
    </row>
    <row r="7055" spans="1:4" x14ac:dyDescent="0.25">
      <c r="A7055" t="str">
        <f>T("   370130")</f>
        <v xml:space="preserve">   370130</v>
      </c>
      <c r="B7055" t="str">
        <f>T("   Plaques et films plans, photographiques, sensibilisés, non impressionnés, dont la dimension d'au moins un côté &gt; 255 mm")</f>
        <v xml:space="preserve">   Plaques et films plans, photographiques, sensibilisés, non impressionnés, dont la dimension d'au moins un côté &gt; 255 mm</v>
      </c>
      <c r="C7055">
        <v>5122820</v>
      </c>
      <c r="D7055">
        <v>1281</v>
      </c>
    </row>
    <row r="7056" spans="1:4" x14ac:dyDescent="0.25">
      <c r="A7056" t="str">
        <f>T("   370710")</f>
        <v xml:space="preserve">   370710</v>
      </c>
      <c r="B7056" t="str">
        <f>T("   Emulsions pour la sensibilisation des surfaces, pour usages photographiques")</f>
        <v xml:space="preserve">   Emulsions pour la sensibilisation des surfaces, pour usages photographiques</v>
      </c>
      <c r="C7056">
        <v>9920070</v>
      </c>
      <c r="D7056">
        <v>12550</v>
      </c>
    </row>
    <row r="7057" spans="1:4" x14ac:dyDescent="0.25">
      <c r="A7057" t="str">
        <f>T("   370790")</f>
        <v xml:space="preserve">   370790</v>
      </c>
      <c r="B7057" t="s">
        <v>118</v>
      </c>
      <c r="C7057">
        <v>150215</v>
      </c>
      <c r="D7057">
        <v>120</v>
      </c>
    </row>
    <row r="7058" spans="1:4" x14ac:dyDescent="0.25">
      <c r="A7058" t="str">
        <f>T("   380820")</f>
        <v xml:space="preserve">   380820</v>
      </c>
      <c r="B7058" t="str">
        <f>T("   Fongicides présentés dans des formes ou emballages de vente au détail ou à l'état de préparations ou sous forme d'articles")</f>
        <v xml:space="preserve">   Fongicides présentés dans des formes ou emballages de vente au détail ou à l'état de préparations ou sous forme d'articles</v>
      </c>
      <c r="C7058">
        <v>3698218</v>
      </c>
      <c r="D7058">
        <v>3700</v>
      </c>
    </row>
    <row r="7059" spans="1:4" x14ac:dyDescent="0.25">
      <c r="A7059" t="str">
        <f>T("   380830")</f>
        <v xml:space="preserve">   380830</v>
      </c>
      <c r="B7059" t="str">
        <f>T("   Herbicides, inhibiteurs de germination et régulateurs de croissance pour plantes, présentés dans des formes ou emballages de vente au détail ou à l'état de préparations ou sous forme d'articles")</f>
        <v xml:space="preserve">   Herbicides, inhibiteurs de germination et régulateurs de croissance pour plantes, présentés dans des formes ou emballages de vente au détail ou à l'état de préparations ou sous forme d'articles</v>
      </c>
      <c r="C7059">
        <v>831816</v>
      </c>
      <c r="D7059">
        <v>720</v>
      </c>
    </row>
    <row r="7060" spans="1:4" x14ac:dyDescent="0.25">
      <c r="A7060" t="str">
        <f>T("   380890")</f>
        <v xml:space="preserve">   380890</v>
      </c>
      <c r="B7060" t="str">
        <f>T("   Antirongeurs et autres produits phytosanitaires, présentés dans des formes ou emballages de vente au détail ou à l'état de préparations ou sous forme d'articles (à l'excl. des insecticides, des fongicides, des herbicides et des désinfectants)")</f>
        <v xml:space="preserve">   Antirongeurs et autres produits phytosanitaires, présentés dans des formes ou emballages de vente au détail ou à l'état de préparations ou sous forme d'articles (à l'excl. des insecticides, des fongicides, des herbicides et des désinfectants)</v>
      </c>
      <c r="C7060">
        <v>58381</v>
      </c>
      <c r="D7060">
        <v>185</v>
      </c>
    </row>
    <row r="7061" spans="1:4" x14ac:dyDescent="0.25">
      <c r="A7061" t="str">
        <f>T("   382200")</f>
        <v xml:space="preserve">   382200</v>
      </c>
      <c r="B7061" t="s">
        <v>126</v>
      </c>
      <c r="C7061">
        <v>9003540</v>
      </c>
      <c r="D7061">
        <v>322</v>
      </c>
    </row>
    <row r="7062" spans="1:4" x14ac:dyDescent="0.25">
      <c r="A7062" t="str">
        <f>T("   382440")</f>
        <v xml:space="preserve">   382440</v>
      </c>
      <c r="B7062" t="str">
        <f>T("   Additifs préparés pour ciments, mortiers ou bétons")</f>
        <v xml:space="preserve">   Additifs préparés pour ciments, mortiers ou bétons</v>
      </c>
      <c r="C7062">
        <v>56822535</v>
      </c>
      <c r="D7062">
        <v>99000</v>
      </c>
    </row>
    <row r="7063" spans="1:4" x14ac:dyDescent="0.25">
      <c r="A7063" t="str">
        <f>T("   382490")</f>
        <v xml:space="preserve">   382490</v>
      </c>
      <c r="B7063" t="str">
        <f>T("   Produits chimiques et préparations des industries chimiques ou des industries connexes, y.c. celles consistant en mélanges de produits naturels, n.d.a.")</f>
        <v xml:space="preserve">   Produits chimiques et préparations des industries chimiques ou des industries connexes, y.c. celles consistant en mélanges de produits naturels, n.d.a.</v>
      </c>
      <c r="C7063">
        <v>11677754</v>
      </c>
      <c r="D7063">
        <v>17496</v>
      </c>
    </row>
    <row r="7064" spans="1:4" x14ac:dyDescent="0.25">
      <c r="A7064" t="str">
        <f>T("   390210")</f>
        <v xml:space="preserve">   390210</v>
      </c>
      <c r="B7064" t="str">
        <f>T("   Polypropylène, sous formes primaires")</f>
        <v xml:space="preserve">   Polypropylène, sous formes primaires</v>
      </c>
      <c r="C7064">
        <v>1793283</v>
      </c>
      <c r="D7064">
        <v>3000</v>
      </c>
    </row>
    <row r="7065" spans="1:4" x14ac:dyDescent="0.25">
      <c r="A7065" t="str">
        <f>T("   390319")</f>
        <v xml:space="preserve">   390319</v>
      </c>
      <c r="B7065" t="str">
        <f>T("   Polystyrène sous formes primaires (à l'excl. du polystyrène expansible)")</f>
        <v xml:space="preserve">   Polystyrène sous formes primaires (à l'excl. du polystyrène expansible)</v>
      </c>
      <c r="C7065">
        <v>1848496</v>
      </c>
      <c r="D7065">
        <v>4584</v>
      </c>
    </row>
    <row r="7066" spans="1:4" x14ac:dyDescent="0.25">
      <c r="A7066" t="str">
        <f>T("   390320")</f>
        <v xml:space="preserve">   390320</v>
      </c>
      <c r="B7066" t="str">
        <f>T("   Copolymères de styrène-acrylonitrile [SAN], sous formes primaires")</f>
        <v xml:space="preserve">   Copolymères de styrène-acrylonitrile [SAN], sous formes primaires</v>
      </c>
      <c r="C7066">
        <v>15111482</v>
      </c>
      <c r="D7066">
        <v>21500</v>
      </c>
    </row>
    <row r="7067" spans="1:4" x14ac:dyDescent="0.25">
      <c r="A7067" t="str">
        <f>T("   390390")</f>
        <v xml:space="preserve">   390390</v>
      </c>
      <c r="B7067" t="str">
        <f>T("   Polymères du styrène, sous formes primaires (à l'excl. du polystyrène ainsi que des copolymères de styrène-acrylonitrile [SAN] ou d'acrylonitrile-butadiène-styrène [ABS])")</f>
        <v xml:space="preserve">   Polymères du styrène, sous formes primaires (à l'excl. du polystyrène ainsi que des copolymères de styrène-acrylonitrile [SAN] ou d'acrylonitrile-butadiène-styrène [ABS])</v>
      </c>
      <c r="C7067">
        <v>5791202</v>
      </c>
      <c r="D7067">
        <v>8000</v>
      </c>
    </row>
    <row r="7068" spans="1:4" x14ac:dyDescent="0.25">
      <c r="A7068" t="str">
        <f>T("   390512")</f>
        <v xml:space="preserve">   390512</v>
      </c>
      <c r="B7068" t="str">
        <f>T("   Poly[acétate de vinyle], en dispersion aqueuse")</f>
        <v xml:space="preserve">   Poly[acétate de vinyle], en dispersion aqueuse</v>
      </c>
      <c r="C7068">
        <v>3418719</v>
      </c>
      <c r="D7068">
        <v>6000</v>
      </c>
    </row>
    <row r="7069" spans="1:4" x14ac:dyDescent="0.25">
      <c r="A7069" t="str">
        <f>T("   390521")</f>
        <v xml:space="preserve">   390521</v>
      </c>
      <c r="B7069" t="str">
        <f>T("   Copolymères d'acétate de vinyle, en dispersion aqueuse")</f>
        <v xml:space="preserve">   Copolymères d'acétate de vinyle, en dispersion aqueuse</v>
      </c>
      <c r="C7069">
        <v>15722233</v>
      </c>
      <c r="D7069">
        <v>26250</v>
      </c>
    </row>
    <row r="7070" spans="1:4" x14ac:dyDescent="0.25">
      <c r="A7070" t="str">
        <f>T("   390591")</f>
        <v xml:space="preserve">   390591</v>
      </c>
      <c r="B7070" t="str">
        <f>T("   Copolymères de vinyle, sous formes primaires (à l'excl. des copolymères du chlorure de vinyle et d'acétate de vinyle et autres copolymères du chlorure de vinyle, et copolymères d'acétate de vinyle)")</f>
        <v xml:space="preserve">   Copolymères de vinyle, sous formes primaires (à l'excl. des copolymères du chlorure de vinyle et d'acétate de vinyle et autres copolymères du chlorure de vinyle, et copolymères d'acétate de vinyle)</v>
      </c>
      <c r="C7070">
        <v>3423770</v>
      </c>
      <c r="D7070">
        <v>4500</v>
      </c>
    </row>
    <row r="7071" spans="1:4" x14ac:dyDescent="0.25">
      <c r="A7071" t="str">
        <f>T("   390690")</f>
        <v xml:space="preserve">   390690</v>
      </c>
      <c r="B7071" t="str">
        <f>T("   Polymères acryliques, sous formes primaires (à l'excl. du poly[méthacrylate de méthyle])")</f>
        <v xml:space="preserve">   Polymères acryliques, sous formes primaires (à l'excl. du poly[méthacrylate de méthyle])</v>
      </c>
      <c r="C7071">
        <v>12895826</v>
      </c>
      <c r="D7071">
        <v>11910</v>
      </c>
    </row>
    <row r="7072" spans="1:4" x14ac:dyDescent="0.25">
      <c r="A7072" t="str">
        <f>T("   390730")</f>
        <v xml:space="preserve">   390730</v>
      </c>
      <c r="B7072" t="str">
        <f>T("   Résines époxydes, sous formes primaires")</f>
        <v xml:space="preserve">   Résines époxydes, sous formes primaires</v>
      </c>
      <c r="C7072">
        <v>2328658</v>
      </c>
      <c r="D7072">
        <v>8840</v>
      </c>
    </row>
    <row r="7073" spans="1:4" x14ac:dyDescent="0.25">
      <c r="A7073" t="str">
        <f>T("   391220")</f>
        <v xml:space="preserve">   391220</v>
      </c>
      <c r="B7073" t="str">
        <f>T("   Nitrates de cellulose, y.c. les collodions, sous formes primaires")</f>
        <v xml:space="preserve">   Nitrates de cellulose, y.c. les collodions, sous formes primaires</v>
      </c>
      <c r="C7073">
        <v>7460305</v>
      </c>
      <c r="D7073">
        <v>549</v>
      </c>
    </row>
    <row r="7074" spans="1:4" x14ac:dyDescent="0.25">
      <c r="A7074" t="str">
        <f>T("   391290")</f>
        <v xml:space="preserve">   391290</v>
      </c>
      <c r="B7074" t="str">
        <f>T("   Cellulose et ses dérivés chimiques, n.d.a., sous formes primaires (à l'excl. des acétates, nitrates et éthers de cellulose)")</f>
        <v xml:space="preserve">   Cellulose et ses dérivés chimiques, n.d.a., sous formes primaires (à l'excl. des acétates, nitrates et éthers de cellulose)</v>
      </c>
      <c r="C7074">
        <v>16824744</v>
      </c>
      <c r="D7074">
        <v>4500</v>
      </c>
    </row>
    <row r="7075" spans="1:4" x14ac:dyDescent="0.25">
      <c r="A7075" t="str">
        <f>T("   391890")</f>
        <v xml:space="preserve">   391890</v>
      </c>
      <c r="B7075" t="s">
        <v>132</v>
      </c>
      <c r="C7075">
        <v>3939039</v>
      </c>
      <c r="D7075">
        <v>8220</v>
      </c>
    </row>
    <row r="7076" spans="1:4" x14ac:dyDescent="0.25">
      <c r="A7076" t="str">
        <f>T("   392112")</f>
        <v xml:space="preserve">   392112</v>
      </c>
      <c r="B7076" t="s">
        <v>146</v>
      </c>
      <c r="C7076">
        <v>2314226</v>
      </c>
      <c r="D7076">
        <v>1090</v>
      </c>
    </row>
    <row r="7077" spans="1:4" x14ac:dyDescent="0.25">
      <c r="A7077" t="str">
        <f>T("   392310")</f>
        <v xml:space="preserve">   392310</v>
      </c>
      <c r="B7077" t="str">
        <f>T("   Boîtes, caisses, casiers et articles simil. pour le transport ou l'emballage, en matières plastiques")</f>
        <v xml:space="preserve">   Boîtes, caisses, casiers et articles simil. pour le transport ou l'emballage, en matières plastiques</v>
      </c>
      <c r="C7077">
        <v>39869151</v>
      </c>
      <c r="D7077">
        <v>31430</v>
      </c>
    </row>
    <row r="7078" spans="1:4" x14ac:dyDescent="0.25">
      <c r="A7078" t="str">
        <f>T("   392329")</f>
        <v xml:space="preserve">   392329</v>
      </c>
      <c r="B7078" t="str">
        <f>T("   Sacs, sachets, pochettes et cornets, en matières plastiques (autres que les polymères de l'éthylène)")</f>
        <v xml:space="preserve">   Sacs, sachets, pochettes et cornets, en matières plastiques (autres que les polymères de l'éthylène)</v>
      </c>
      <c r="C7078">
        <v>712372</v>
      </c>
      <c r="D7078">
        <v>971</v>
      </c>
    </row>
    <row r="7079" spans="1:4" x14ac:dyDescent="0.25">
      <c r="A7079" t="str">
        <f>T("   392330")</f>
        <v xml:space="preserve">   392330</v>
      </c>
      <c r="B7079" t="str">
        <f>T("   Bonbonnes, bouteilles, flacons et articles simil. pour le transport ou l'emballage, en matières plastiques")</f>
        <v xml:space="preserve">   Bonbonnes, bouteilles, flacons et articles simil. pour le transport ou l'emballage, en matières plastiques</v>
      </c>
      <c r="C7079">
        <v>90565775</v>
      </c>
      <c r="D7079">
        <v>23469</v>
      </c>
    </row>
    <row r="7080" spans="1:4" x14ac:dyDescent="0.25">
      <c r="A7080" t="str">
        <f>T("   392350")</f>
        <v xml:space="preserve">   392350</v>
      </c>
      <c r="B7080" t="str">
        <f>T("   Bouchons, couvercles, capsules et autres dispositifs de fermeture, en matières plastiques")</f>
        <v xml:space="preserve">   Bouchons, couvercles, capsules et autres dispositifs de fermeture, en matières plastiques</v>
      </c>
      <c r="C7080">
        <v>3852412</v>
      </c>
      <c r="D7080">
        <v>2105</v>
      </c>
    </row>
    <row r="7081" spans="1:4" x14ac:dyDescent="0.25">
      <c r="A7081" t="str">
        <f>T("   392390")</f>
        <v xml:space="preserve">   392390</v>
      </c>
      <c r="B7081" t="s">
        <v>150</v>
      </c>
      <c r="C7081">
        <v>8599643</v>
      </c>
      <c r="D7081">
        <v>6473</v>
      </c>
    </row>
    <row r="7082" spans="1:4" x14ac:dyDescent="0.25">
      <c r="A7082" t="str">
        <f>T("   392410")</f>
        <v xml:space="preserve">   392410</v>
      </c>
      <c r="B7082" t="str">
        <f>T("   Vaisselle et autres articles pour le service de la table ou de la cuisine, en matières plastiques")</f>
        <v xml:space="preserve">   Vaisselle et autres articles pour le service de la table ou de la cuisine, en matières plastiques</v>
      </c>
      <c r="C7082">
        <v>5937914</v>
      </c>
      <c r="D7082">
        <v>7758</v>
      </c>
    </row>
    <row r="7083" spans="1:4" x14ac:dyDescent="0.25">
      <c r="A7083" t="str">
        <f>T("   392490")</f>
        <v xml:space="preserve">   392490</v>
      </c>
      <c r="B7083" t="s">
        <v>151</v>
      </c>
      <c r="C7083">
        <v>52881376</v>
      </c>
      <c r="D7083">
        <v>36256</v>
      </c>
    </row>
    <row r="7084" spans="1:4" x14ac:dyDescent="0.25">
      <c r="A7084" t="str">
        <f>T("   392590")</f>
        <v xml:space="preserve">   392590</v>
      </c>
      <c r="B7084" t="s">
        <v>152</v>
      </c>
      <c r="C7084">
        <v>230242</v>
      </c>
      <c r="D7084">
        <v>62</v>
      </c>
    </row>
    <row r="7085" spans="1:4" x14ac:dyDescent="0.25">
      <c r="A7085" t="str">
        <f>T("   392610")</f>
        <v xml:space="preserve">   392610</v>
      </c>
      <c r="B7085" t="str">
        <f>T("   Articles de bureau et articles scolaires, en matières plastiques, n.d.a.")</f>
        <v xml:space="preserve">   Articles de bureau et articles scolaires, en matières plastiques, n.d.a.</v>
      </c>
      <c r="C7085">
        <v>211160</v>
      </c>
      <c r="D7085">
        <v>1253</v>
      </c>
    </row>
    <row r="7086" spans="1:4" x14ac:dyDescent="0.25">
      <c r="A7086" t="str">
        <f>T("   392640")</f>
        <v xml:space="preserve">   392640</v>
      </c>
      <c r="B7086" t="str">
        <f>T("   Statuettes et autres objets d'ornementation, en matières plastiques")</f>
        <v xml:space="preserve">   Statuettes et autres objets d'ornementation, en matières plastiques</v>
      </c>
      <c r="C7086">
        <v>3363431</v>
      </c>
      <c r="D7086">
        <v>3186</v>
      </c>
    </row>
    <row r="7087" spans="1:4" x14ac:dyDescent="0.25">
      <c r="A7087" t="str">
        <f>T("   392690")</f>
        <v xml:space="preserve">   392690</v>
      </c>
      <c r="B7087" t="str">
        <f>T("   Ouvrages en matières plastiques et ouvrages en autres matières du n° 3901 à 3914, n.d.a.")</f>
        <v xml:space="preserve">   Ouvrages en matières plastiques et ouvrages en autres matières du n° 3901 à 3914, n.d.a.</v>
      </c>
      <c r="C7087">
        <v>5525758</v>
      </c>
      <c r="D7087">
        <v>4909.63</v>
      </c>
    </row>
    <row r="7088" spans="1:4" x14ac:dyDescent="0.25">
      <c r="A7088" t="str">
        <f>T("   400911")</f>
        <v xml:space="preserve">   400911</v>
      </c>
      <c r="B7088" t="str">
        <f>T("   Tubes et tuyaux en caoutchouc vulcanisé non durci, non renforcés à l'aide d'autres matières ni autrement associés à d'autres matières, sans accessoires")</f>
        <v xml:space="preserve">   Tubes et tuyaux en caoutchouc vulcanisé non durci, non renforcés à l'aide d'autres matières ni autrement associés à d'autres matières, sans accessoires</v>
      </c>
      <c r="C7088">
        <v>72812</v>
      </c>
      <c r="D7088">
        <v>17</v>
      </c>
    </row>
    <row r="7089" spans="1:4" x14ac:dyDescent="0.25">
      <c r="A7089" t="str">
        <f>T("   400942")</f>
        <v xml:space="preserve">   400942</v>
      </c>
      <c r="B7089" t="s">
        <v>155</v>
      </c>
      <c r="C7089">
        <v>24360400</v>
      </c>
      <c r="D7089">
        <v>3000</v>
      </c>
    </row>
    <row r="7090" spans="1:4" x14ac:dyDescent="0.25">
      <c r="A7090" t="str">
        <f>T("   401039")</f>
        <v xml:space="preserve">   401039</v>
      </c>
      <c r="B7090" t="s">
        <v>157</v>
      </c>
      <c r="C7090">
        <v>8738</v>
      </c>
      <c r="D7090">
        <v>1</v>
      </c>
    </row>
    <row r="7091" spans="1:4" x14ac:dyDescent="0.25">
      <c r="A7091" t="str">
        <f>T("   401110")</f>
        <v xml:space="preserve">   401110</v>
      </c>
      <c r="B7091"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7091">
        <v>1402502</v>
      </c>
      <c r="D7091">
        <v>39</v>
      </c>
    </row>
    <row r="7092" spans="1:4" x14ac:dyDescent="0.25">
      <c r="A7092" t="str">
        <f>T("   401211")</f>
        <v xml:space="preserve">   401211</v>
      </c>
      <c r="B7092" t="str">
        <f>T("   Pneumatiques rechapés, en caoutchouc, des types utilisés pour les voitures de tourisme, y.c. les voitures du type 'break' et les voitures de course")</f>
        <v xml:space="preserve">   Pneumatiques rechapés, en caoutchouc, des types utilisés pour les voitures de tourisme, y.c. les voitures du type 'break' et les voitures de course</v>
      </c>
      <c r="C7092">
        <v>1935000</v>
      </c>
      <c r="D7092">
        <v>2750</v>
      </c>
    </row>
    <row r="7093" spans="1:4" x14ac:dyDescent="0.25">
      <c r="A7093" t="str">
        <f>T("   401220")</f>
        <v xml:space="preserve">   401220</v>
      </c>
      <c r="B7093" t="str">
        <f>T("   Pneumatiques usagés, en caoutchouc")</f>
        <v xml:space="preserve">   Pneumatiques usagés, en caoutchouc</v>
      </c>
      <c r="C7093">
        <v>21433008</v>
      </c>
      <c r="D7093">
        <v>51343</v>
      </c>
    </row>
    <row r="7094" spans="1:4" x14ac:dyDescent="0.25">
      <c r="A7094" t="str">
        <f>T("   401290")</f>
        <v xml:space="preserve">   401290</v>
      </c>
      <c r="B7094" t="str">
        <f>T("   Bandages pleins ou creux [mi-pleins], bandes de roulement amovibles pour pneumatiques et flaps, en caoutchouc")</f>
        <v xml:space="preserve">   Bandages pleins ou creux [mi-pleins], bandes de roulement amovibles pour pneumatiques et flaps, en caoutchouc</v>
      </c>
      <c r="C7094">
        <v>30000</v>
      </c>
      <c r="D7094">
        <v>100</v>
      </c>
    </row>
    <row r="7095" spans="1:4" x14ac:dyDescent="0.25">
      <c r="A7095" t="str">
        <f>T("   401490")</f>
        <v xml:space="preserve">   401490</v>
      </c>
      <c r="B7095" t="str">
        <f>T("   ARTICLES D'HYGIÈNE OU DE PHARMACIE, Y.C. LES TÉTINES, EN CAOUTCHOUC VULCANISÉ NON-DURCI, MÊME AVEC PARTIES EN CAOUTCHOUC DURCI, N.D.A. (À L'EXCL. DES PRÉSERVATIFS AINSI QUE DES VÊTEMENTS ET ACCESSOIRES DU VÊTEMENT, Y.C. LES GANTS, POUR TOUS USAGES)")</f>
        <v xml:space="preserve">   ARTICLES D'HYGIÈNE OU DE PHARMACIE, Y.C. LES TÉTINES, EN CAOUTCHOUC VULCANISÉ NON-DURCI, MÊME AVEC PARTIES EN CAOUTCHOUC DURCI, N.D.A. (À L'EXCL. DES PRÉSERVATIFS AINSI QUE DES VÊTEMENTS ET ACCESSOIRES DU VÊTEMENT, Y.C. LES GANTS, POUR TOUS USAGES)</v>
      </c>
      <c r="C7095">
        <v>332821</v>
      </c>
      <c r="D7095">
        <v>68</v>
      </c>
    </row>
    <row r="7096" spans="1:4" x14ac:dyDescent="0.25">
      <c r="A7096" t="str">
        <f>T("   401610")</f>
        <v xml:space="preserve">   401610</v>
      </c>
      <c r="B7096" t="str">
        <f>T("   Ouvrages en caoutchouc alvéolaire non durci, n.d.a.")</f>
        <v xml:space="preserve">   Ouvrages en caoutchouc alvéolaire non durci, n.d.a.</v>
      </c>
      <c r="C7096">
        <v>13630378</v>
      </c>
      <c r="D7096">
        <v>4151</v>
      </c>
    </row>
    <row r="7097" spans="1:4" x14ac:dyDescent="0.25">
      <c r="A7097" t="str">
        <f>T("   401693")</f>
        <v xml:space="preserve">   401693</v>
      </c>
      <c r="B7097" t="str">
        <f>T("   Joints en caoutchouc vulcanisé non durci (à l'excl. des articles en caoutchouc alvéolaire)")</f>
        <v xml:space="preserve">   Joints en caoutchouc vulcanisé non durci (à l'excl. des articles en caoutchouc alvéolaire)</v>
      </c>
      <c r="C7097">
        <v>3714045</v>
      </c>
      <c r="D7097">
        <v>14</v>
      </c>
    </row>
    <row r="7098" spans="1:4" x14ac:dyDescent="0.25">
      <c r="A7098" t="str">
        <f>T("   420222")</f>
        <v xml:space="preserve">   420222</v>
      </c>
      <c r="B7098" t="str">
        <f>T("   Sacs à main, même à bandoulière, y.c. ceux sans poignée, à surface extérieure en feuilles de matières plastiques ou en matières textiles")</f>
        <v xml:space="preserve">   Sacs à main, même à bandoulière, y.c. ceux sans poignée, à surface extérieure en feuilles de matières plastiques ou en matières textiles</v>
      </c>
      <c r="C7098">
        <v>98394</v>
      </c>
      <c r="D7098">
        <v>490</v>
      </c>
    </row>
    <row r="7099" spans="1:4" x14ac:dyDescent="0.25">
      <c r="A7099" t="str">
        <f>T("   420229")</f>
        <v xml:space="preserve">   420229</v>
      </c>
      <c r="B7099"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7099">
        <v>246892</v>
      </c>
      <c r="D7099">
        <v>682</v>
      </c>
    </row>
    <row r="7100" spans="1:4" x14ac:dyDescent="0.25">
      <c r="A7100" t="str">
        <f>T("   420232")</f>
        <v xml:space="preserve">   420232</v>
      </c>
      <c r="B7100" t="str">
        <f>T("   Portefeuilles, porte-monnaie, étuis à clés ou à cigarettes, blagues à tabac et articles simil. de poche ou de sac à main, à surface extérieure en feuilles de matières plastiques ou en matières textiles")</f>
        <v xml:space="preserve">   Portefeuilles, porte-monnaie, étuis à clés ou à cigarettes, blagues à tabac et articles simil. de poche ou de sac à main, à surface extérieure en feuilles de matières plastiques ou en matières textiles</v>
      </c>
      <c r="C7100">
        <v>679574</v>
      </c>
      <c r="D7100">
        <v>76</v>
      </c>
    </row>
    <row r="7101" spans="1:4" x14ac:dyDescent="0.25">
      <c r="A7101" t="str">
        <f>T("   420500")</f>
        <v xml:space="preserve">   420500</v>
      </c>
      <c r="B7101" t="s">
        <v>167</v>
      </c>
      <c r="C7101">
        <v>1521171</v>
      </c>
      <c r="D7101">
        <v>280</v>
      </c>
    </row>
    <row r="7102" spans="1:4" x14ac:dyDescent="0.25">
      <c r="A7102" t="str">
        <f>T("   441219")</f>
        <v xml:space="preserve">   441219</v>
      </c>
      <c r="B7102" t="s">
        <v>183</v>
      </c>
      <c r="C7102">
        <v>327981</v>
      </c>
      <c r="D7102">
        <v>1670</v>
      </c>
    </row>
    <row r="7103" spans="1:4" x14ac:dyDescent="0.25">
      <c r="A7103" t="str">
        <f>T("   441400")</f>
        <v xml:space="preserve">   441400</v>
      </c>
      <c r="B7103" t="str">
        <f>T("   Cadres en bois pour tableaux, photographies, miroirs ou objets simil.")</f>
        <v xml:space="preserve">   Cadres en bois pour tableaux, photographies, miroirs ou objets simil.</v>
      </c>
      <c r="C7103">
        <v>464885</v>
      </c>
      <c r="D7103">
        <v>710</v>
      </c>
    </row>
    <row r="7104" spans="1:4" x14ac:dyDescent="0.25">
      <c r="A7104" t="str">
        <f>T("   441700")</f>
        <v xml:space="preserve">   441700</v>
      </c>
      <c r="B7104" t="s">
        <v>187</v>
      </c>
      <c r="C7104">
        <v>671047</v>
      </c>
      <c r="D7104">
        <v>4636</v>
      </c>
    </row>
    <row r="7105" spans="1:4" x14ac:dyDescent="0.25">
      <c r="A7105" t="str">
        <f>T("   441810")</f>
        <v xml:space="preserve">   441810</v>
      </c>
      <c r="B7105" t="str">
        <f>T("   Fenêtres, portes-fenêtres et leurs cadres et chambranles, en bois")</f>
        <v xml:space="preserve">   Fenêtres, portes-fenêtres et leurs cadres et chambranles, en bois</v>
      </c>
      <c r="C7105">
        <v>498530</v>
      </c>
      <c r="D7105">
        <v>4510</v>
      </c>
    </row>
    <row r="7106" spans="1:4" x14ac:dyDescent="0.25">
      <c r="A7106" t="str">
        <f>T("   441820")</f>
        <v xml:space="preserve">   441820</v>
      </c>
      <c r="B7106" t="str">
        <f>T("   Portes et leurs cadres, chambranles et seuils, en bois")</f>
        <v xml:space="preserve">   Portes et leurs cadres, chambranles et seuils, en bois</v>
      </c>
      <c r="C7106">
        <v>187061</v>
      </c>
      <c r="D7106">
        <v>610</v>
      </c>
    </row>
    <row r="7107" spans="1:4" x14ac:dyDescent="0.25">
      <c r="A7107" t="str">
        <f>T("   441890")</f>
        <v xml:space="preserve">   441890</v>
      </c>
      <c r="B7107" t="s">
        <v>188</v>
      </c>
      <c r="C7107">
        <v>6730806</v>
      </c>
      <c r="D7107">
        <v>3395</v>
      </c>
    </row>
    <row r="7108" spans="1:4" x14ac:dyDescent="0.25">
      <c r="A7108" t="str">
        <f>T("   441900")</f>
        <v xml:space="preserve">   441900</v>
      </c>
      <c r="B7108" t="s">
        <v>189</v>
      </c>
      <c r="C7108">
        <v>397512</v>
      </c>
      <c r="D7108">
        <v>452</v>
      </c>
    </row>
    <row r="7109" spans="1:4" x14ac:dyDescent="0.25">
      <c r="A7109" t="str">
        <f>T("   442010")</f>
        <v xml:space="preserve">   442010</v>
      </c>
      <c r="B7109" t="str">
        <f>T("   Statuettes et autres objets d'ornement, en bois (autres que marquetés ou incrustés)")</f>
        <v xml:space="preserve">   Statuettes et autres objets d'ornement, en bois (autres que marquetés ou incrustés)</v>
      </c>
      <c r="C7109">
        <v>66252</v>
      </c>
      <c r="D7109">
        <v>440</v>
      </c>
    </row>
    <row r="7110" spans="1:4" x14ac:dyDescent="0.25">
      <c r="A7110" t="str">
        <f>T("   442110")</f>
        <v xml:space="preserve">   442110</v>
      </c>
      <c r="B7110" t="str">
        <f>T("   Cintres pour vêtements, en bois")</f>
        <v xml:space="preserve">   Cintres pour vêtements, en bois</v>
      </c>
      <c r="C7110">
        <v>704985</v>
      </c>
      <c r="D7110">
        <v>650</v>
      </c>
    </row>
    <row r="7111" spans="1:4" x14ac:dyDescent="0.25">
      <c r="A7111" t="str">
        <f>T("   442190")</f>
        <v xml:space="preserve">   442190</v>
      </c>
      <c r="B7111" t="str">
        <f>T("   Ouvrages, en bois, n.d.a.")</f>
        <v xml:space="preserve">   Ouvrages, en bois, n.d.a.</v>
      </c>
      <c r="C7111">
        <v>3128488</v>
      </c>
      <c r="D7111">
        <v>2053</v>
      </c>
    </row>
    <row r="7112" spans="1:4" x14ac:dyDescent="0.25">
      <c r="A7112" t="str">
        <f>T("   480257")</f>
        <v xml:space="preserve">   480257</v>
      </c>
      <c r="B7112" t="s">
        <v>195</v>
      </c>
      <c r="C7112">
        <v>6757700</v>
      </c>
      <c r="D7112">
        <v>9660</v>
      </c>
    </row>
    <row r="7113" spans="1:4" x14ac:dyDescent="0.25">
      <c r="A7113" t="str">
        <f>T("   480258")</f>
        <v xml:space="preserve">   480258</v>
      </c>
      <c r="B7113" t="s">
        <v>196</v>
      </c>
      <c r="C7113">
        <v>3735036</v>
      </c>
      <c r="D7113">
        <v>5520</v>
      </c>
    </row>
    <row r="7114" spans="1:4" x14ac:dyDescent="0.25">
      <c r="A7114" t="str">
        <f>T("   481840")</f>
        <v xml:space="preserve">   481840</v>
      </c>
      <c r="B7114"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7114">
        <v>1887368</v>
      </c>
      <c r="D7114">
        <v>388</v>
      </c>
    </row>
    <row r="7115" spans="1:4" x14ac:dyDescent="0.25">
      <c r="A7115" t="str">
        <f>T("   481850")</f>
        <v xml:space="preserve">   481850</v>
      </c>
      <c r="B7115" t="s">
        <v>216</v>
      </c>
      <c r="C7115">
        <v>200000</v>
      </c>
      <c r="D7115">
        <v>1000</v>
      </c>
    </row>
    <row r="7116" spans="1:4" x14ac:dyDescent="0.25">
      <c r="A7116" t="str">
        <f>T("   481920")</f>
        <v xml:space="preserve">   481920</v>
      </c>
      <c r="B7116" t="str">
        <f>T("   Boîtes et cartonnages, pliants, en papier ou en carton non ondulé")</f>
        <v xml:space="preserve">   Boîtes et cartonnages, pliants, en papier ou en carton non ondulé</v>
      </c>
      <c r="C7116">
        <v>2176207</v>
      </c>
      <c r="D7116">
        <v>4946</v>
      </c>
    </row>
    <row r="7117" spans="1:4" x14ac:dyDescent="0.25">
      <c r="A7117" t="str">
        <f>T("   481930")</f>
        <v xml:space="preserve">   481930</v>
      </c>
      <c r="B7117" t="str">
        <f>T("   Sacs, en papier, carton, ouate de cellulose ou nappes de fibres de cellulose, d'une largeur à la base &gt;= 40 cm")</f>
        <v xml:space="preserve">   Sacs, en papier, carton, ouate de cellulose ou nappes de fibres de cellulose, d'une largeur à la base &gt;= 40 cm</v>
      </c>
      <c r="C7117">
        <v>150000</v>
      </c>
      <c r="D7117">
        <v>300</v>
      </c>
    </row>
    <row r="7118" spans="1:4" x14ac:dyDescent="0.25">
      <c r="A7118" t="str">
        <f>T("   482020")</f>
        <v xml:space="preserve">   482020</v>
      </c>
      <c r="B7118" t="str">
        <f>T("   Cahiers pour l'écriture, en papier ou carton")</f>
        <v xml:space="preserve">   Cahiers pour l'écriture, en papier ou carton</v>
      </c>
      <c r="C7118">
        <v>480799</v>
      </c>
      <c r="D7118">
        <v>375</v>
      </c>
    </row>
    <row r="7119" spans="1:4" x14ac:dyDescent="0.25">
      <c r="A7119" t="str">
        <f>T("   482090")</f>
        <v xml:space="preserve">   482090</v>
      </c>
      <c r="B7119" t="s">
        <v>219</v>
      </c>
      <c r="C7119">
        <v>392481</v>
      </c>
      <c r="D7119">
        <v>690</v>
      </c>
    </row>
    <row r="7120" spans="1:4" x14ac:dyDescent="0.25">
      <c r="A7120" t="str">
        <f>T("   490199")</f>
        <v xml:space="preserve">   490199</v>
      </c>
      <c r="B7120"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7120">
        <v>30109227</v>
      </c>
      <c r="D7120">
        <v>24845</v>
      </c>
    </row>
    <row r="7121" spans="1:4" x14ac:dyDescent="0.25">
      <c r="A7121" t="str">
        <f>T("   491110")</f>
        <v xml:space="preserve">   491110</v>
      </c>
      <c r="B7121" t="str">
        <f>T("   Imprimés publicitaires, catalogues commerciaux et simil.")</f>
        <v xml:space="preserve">   Imprimés publicitaires, catalogues commerciaux et simil.</v>
      </c>
      <c r="C7121">
        <v>1230056</v>
      </c>
      <c r="D7121">
        <v>1129</v>
      </c>
    </row>
    <row r="7122" spans="1:4" x14ac:dyDescent="0.25">
      <c r="A7122" t="str">
        <f>T("   520859")</f>
        <v xml:space="preserve">   520859</v>
      </c>
      <c r="B7122" t="str">
        <f>T("   TISSUS DE COTON, IMPRIMÉS, CONTENANT &gt;= 85% EN POIDS DE COTON, D'UN POIDS &lt;= 200 G/M² (À L'EXCL. DES TISSUS À ARMURE TOILE)")</f>
        <v xml:space="preserve">   TISSUS DE COTON, IMPRIMÉS, CONTENANT &gt;= 85% EN POIDS DE COTON, D'UN POIDS &lt;= 200 G/M² (À L'EXCL. DES TISSUS À ARMURE TOILE)</v>
      </c>
      <c r="C7122">
        <v>1780000</v>
      </c>
      <c r="D7122">
        <v>10000</v>
      </c>
    </row>
    <row r="7123" spans="1:4" x14ac:dyDescent="0.25">
      <c r="A7123" t="str">
        <f>T("   521019")</f>
        <v xml:space="preserve">   521019</v>
      </c>
      <c r="B7123" t="s">
        <v>222</v>
      </c>
      <c r="C7123">
        <v>513354</v>
      </c>
      <c r="D7123">
        <v>250</v>
      </c>
    </row>
    <row r="7124" spans="1:4" x14ac:dyDescent="0.25">
      <c r="A7124" t="str">
        <f>T("   540261")</f>
        <v xml:space="preserve">   540261</v>
      </c>
      <c r="B7124" t="str">
        <f>T("   Fils retors ou câblés, de filaments de nylon ou d'autres polyamides, non conditionnés pour la vente au détail, y.c. les monofilaments de moins de 67 décitex (à l'excl. des fils à coudre, des fils à haute ténacité ou des fils texturés)")</f>
        <v xml:space="preserve">   Fils retors ou câblés, de filaments de nylon ou d'autres polyamides, non conditionnés pour la vente au détail, y.c. les monofilaments de moins de 67 décitex (à l'excl. des fils à coudre, des fils à haute ténacité ou des fils texturés)</v>
      </c>
      <c r="C7124">
        <v>101018</v>
      </c>
      <c r="D7124">
        <v>25</v>
      </c>
    </row>
    <row r="7125" spans="1:4" x14ac:dyDescent="0.25">
      <c r="A7125" t="str">
        <f>T("   551519")</f>
        <v xml:space="preserve">   551519</v>
      </c>
      <c r="B7125" t="s">
        <v>239</v>
      </c>
      <c r="C7125">
        <v>203245</v>
      </c>
      <c r="D7125">
        <v>250</v>
      </c>
    </row>
    <row r="7126" spans="1:4" x14ac:dyDescent="0.25">
      <c r="A7126" t="str">
        <f>T("   560490")</f>
        <v xml:space="preserve">   560490</v>
      </c>
      <c r="B7126" t="str">
        <f>T("   FILS TEXTILES, LAMES ET FORMES SIMIL. DU N° 5404 OU 5405, IMPRÉGNÉS, ENDUITS, RECOUVERTS OU GAINÉS DE CAOUTCHOUC OU DE MATIÈRE PLASTIQUE (À L'EXCL. DES IMITATIONS DE CATGUT MUNIES D'HAMEÇONS OU AUTREMENT MONTÉES EN LIGNES)")</f>
        <v xml:space="preserve">   FILS TEXTILES, LAMES ET FORMES SIMIL. DU N° 5404 OU 5405, IMPRÉGNÉS, ENDUITS, RECOUVERTS OU GAINÉS DE CAOUTCHOUC OU DE MATIÈRE PLASTIQUE (À L'EXCL. DES IMITATIONS DE CATGUT MUNIES D'HAMEÇONS OU AUTREMENT MONTÉES EN LIGNES)</v>
      </c>
      <c r="C7126">
        <v>164646</v>
      </c>
      <c r="D7126">
        <v>105</v>
      </c>
    </row>
    <row r="7127" spans="1:4" x14ac:dyDescent="0.25">
      <c r="A7127" t="str">
        <f>T("   570220")</f>
        <v xml:space="preserve">   570220</v>
      </c>
      <c r="B7127" t="str">
        <f>T("   Revêtements de sol en coco, tissés, même confectionnés")</f>
        <v xml:space="preserve">   Revêtements de sol en coco, tissés, même confectionnés</v>
      </c>
      <c r="C7127">
        <v>455892</v>
      </c>
      <c r="D7127">
        <v>540</v>
      </c>
    </row>
    <row r="7128" spans="1:4" x14ac:dyDescent="0.25">
      <c r="A7128" t="str">
        <f>T("   570232")</f>
        <v xml:space="preserve">   570232</v>
      </c>
      <c r="B7128" t="s">
        <v>248</v>
      </c>
      <c r="C7128">
        <v>1260755</v>
      </c>
      <c r="D7128">
        <v>375</v>
      </c>
    </row>
    <row r="7129" spans="1:4" x14ac:dyDescent="0.25">
      <c r="A7129" t="str">
        <f>T("   570292")</f>
        <v xml:space="preserve">   570292</v>
      </c>
      <c r="B7129" t="s">
        <v>251</v>
      </c>
      <c r="C7129">
        <v>10064182</v>
      </c>
      <c r="D7129">
        <v>8475</v>
      </c>
    </row>
    <row r="7130" spans="1:4" x14ac:dyDescent="0.25">
      <c r="A7130" t="str">
        <f>T("   570330")</f>
        <v xml:space="preserve">   570330</v>
      </c>
      <c r="B7130" t="str">
        <f>T("   Tapis et autres revêtements de sol, de matières textiles synthétiques ou artificielles, touffetés, même confectionnés (à l'excl. des articles en nylon ou en autres polyamides)")</f>
        <v xml:space="preserve">   Tapis et autres revêtements de sol, de matières textiles synthétiques ou artificielles, touffetés, même confectionnés (à l'excl. des articles en nylon ou en autres polyamides)</v>
      </c>
      <c r="C7130">
        <v>1115132</v>
      </c>
      <c r="D7130">
        <v>1250</v>
      </c>
    </row>
    <row r="7131" spans="1:4" x14ac:dyDescent="0.25">
      <c r="A7131" t="str">
        <f>T("   570500")</f>
        <v xml:space="preserve">   570500</v>
      </c>
      <c r="B7131" t="str">
        <f>T("   Tapis et autres revêtements de sol en matières textiles, même confectionnés (à l'excl. à points noués ou enroulés, tissés, touffetés ou en feutre)")</f>
        <v xml:space="preserve">   Tapis et autres revêtements de sol en matières textiles, même confectionnés (à l'excl. à points noués ou enroulés, tissés, touffetés ou en feutre)</v>
      </c>
      <c r="C7131">
        <v>2645177</v>
      </c>
      <c r="D7131">
        <v>4143</v>
      </c>
    </row>
    <row r="7132" spans="1:4" x14ac:dyDescent="0.25">
      <c r="A7132" t="str">
        <f>T("   591190")</f>
        <v xml:space="preserve">   591190</v>
      </c>
      <c r="B7132" t="str">
        <f>T("   Produits et articles textiles pour usages techniques, en matières textiles, visés à la note 7 du présent chapitre, n.d.a.")</f>
        <v xml:space="preserve">   Produits et articles textiles pour usages techniques, en matières textiles, visés à la note 7 du présent chapitre, n.d.a.</v>
      </c>
      <c r="C7132">
        <v>13981079</v>
      </c>
      <c r="D7132">
        <v>6072</v>
      </c>
    </row>
    <row r="7133" spans="1:4" x14ac:dyDescent="0.25">
      <c r="A7133" t="str">
        <f>T("   610590")</f>
        <v xml:space="preserve">   610590</v>
      </c>
      <c r="B7133" t="str">
        <f>T("   Chemises et chemisettes, en bonneterie, de matières textiles, pour hommes ou garçonnets (sauf de coton, fibres synthétiques ou artificielles et sauf chemises de nuit, T-shirts et maillots de corps)")</f>
        <v xml:space="preserve">   Chemises et chemisettes, en bonneterie, de matières textiles, pour hommes ou garçonnets (sauf de coton, fibres synthétiques ou artificielles et sauf chemises de nuit, T-shirts et maillots de corps)</v>
      </c>
      <c r="C7133">
        <v>513354</v>
      </c>
      <c r="D7133">
        <v>800</v>
      </c>
    </row>
    <row r="7134" spans="1:4" x14ac:dyDescent="0.25">
      <c r="A7134" t="str">
        <f>T("   610799")</f>
        <v xml:space="preserve">   610799</v>
      </c>
      <c r="B7134" t="str">
        <f>T("   Peignoirs de bain, robes de chambre et articles simil., en bonneterie, de matières textiles, pour hommes ou garçonnets (sauf de coton ou fibres synthétiques ou artificielles)")</f>
        <v xml:space="preserve">   Peignoirs de bain, robes de chambre et articles simil., en bonneterie, de matières textiles, pour hommes ou garçonnets (sauf de coton ou fibres synthétiques ou artificielles)</v>
      </c>
      <c r="C7134">
        <v>1050000</v>
      </c>
      <c r="D7134">
        <v>2000</v>
      </c>
    </row>
    <row r="7135" spans="1:4" x14ac:dyDescent="0.25">
      <c r="A7135" t="str">
        <f>T("   610821")</f>
        <v xml:space="preserve">   610821</v>
      </c>
      <c r="B7135" t="str">
        <f>T("   Slips et culottes, en bonneterie, de coton, pour femmes ou fillettes")</f>
        <v xml:space="preserve">   Slips et culottes, en bonneterie, de coton, pour femmes ou fillettes</v>
      </c>
      <c r="C7135">
        <v>269239</v>
      </c>
      <c r="D7135">
        <v>55</v>
      </c>
    </row>
    <row r="7136" spans="1:4" x14ac:dyDescent="0.25">
      <c r="A7136" t="str">
        <f>T("   611190")</f>
        <v xml:space="preserve">   611190</v>
      </c>
      <c r="B7136" t="str">
        <f>T("   VÊTEMENTS ET ACCESSOIRES DU VÊTEMENT, EN BONNETERIE, DE MATIÈRES TEXTILES, POUR BÉBÉS (SAUF DE COTON, FIBRES SYNTHÉTIQUES ET SAUF BONNETS)")</f>
        <v xml:space="preserve">   VÊTEMENTS ET ACCESSOIRES DU VÊTEMENT, EN BONNETERIE, DE MATIÈRES TEXTILES, POUR BÉBÉS (SAUF DE COTON, FIBRES SYNTHÉTIQUES ET SAUF BONNETS)</v>
      </c>
      <c r="C7136">
        <v>150000</v>
      </c>
      <c r="D7136">
        <v>1039</v>
      </c>
    </row>
    <row r="7137" spans="1:4" x14ac:dyDescent="0.25">
      <c r="A7137" t="str">
        <f>T("   611420")</f>
        <v xml:space="preserve">   611420</v>
      </c>
      <c r="B7137" t="str">
        <f>T("   Vêtements spéciaux destinés à des fins professionnelles, sportives ou autres n.d.a., en bonneterie, de coton")</f>
        <v xml:space="preserve">   Vêtements spéciaux destinés à des fins professionnelles, sportives ou autres n.d.a., en bonneterie, de coton</v>
      </c>
      <c r="C7137">
        <v>1571024</v>
      </c>
      <c r="D7137">
        <v>1730</v>
      </c>
    </row>
    <row r="7138" spans="1:4" x14ac:dyDescent="0.25">
      <c r="A7138" t="str">
        <f>T("   620319")</f>
        <v xml:space="preserve">   620319</v>
      </c>
      <c r="B7138" t="s">
        <v>265</v>
      </c>
      <c r="C7138">
        <v>1764532</v>
      </c>
      <c r="D7138">
        <v>3900</v>
      </c>
    </row>
    <row r="7139" spans="1:4" x14ac:dyDescent="0.25">
      <c r="A7139" t="str">
        <f>T("   620469")</f>
        <v xml:space="preserve">   620469</v>
      </c>
      <c r="B7139" t="s">
        <v>267</v>
      </c>
      <c r="C7139">
        <v>150000</v>
      </c>
      <c r="D7139">
        <v>4500</v>
      </c>
    </row>
    <row r="7140" spans="1:4" x14ac:dyDescent="0.25">
      <c r="A7140" t="str">
        <f>T("   620590")</f>
        <v xml:space="preserve">   620590</v>
      </c>
      <c r="B7140"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7140">
        <v>3093305</v>
      </c>
      <c r="D7140">
        <v>8074</v>
      </c>
    </row>
    <row r="7141" spans="1:4" x14ac:dyDescent="0.25">
      <c r="A7141" t="str">
        <f>T("   620729")</f>
        <v xml:space="preserve">   620729</v>
      </c>
      <c r="B7141" t="str">
        <f>T("   CHEMISES DE NUIT ET PYJAMAS, DE MATIÈRES TEXTILES, POUR HOMMES OU GARÇONNETS (AUTRES QUE DE COTON, FIBRES SYNTHÉTIQUES OU ARTIFICIELLES, AUTRES QU'EN BONNETERIE ET SAUF GILETS DE CORPS ET SLIPS ET CALETHONS)")</f>
        <v xml:space="preserve">   CHEMISES DE NUIT ET PYJAMAS, DE MATIÈRES TEXTILES, POUR HOMMES OU GARÇONNETS (AUTRES QUE DE COTON, FIBRES SYNTHÉTIQUES OU ARTIFICIELLES, AUTRES QU'EN BONNETERIE ET SAUF GILETS DE CORPS ET SLIPS ET CALETHONS)</v>
      </c>
      <c r="C7141">
        <v>270911</v>
      </c>
      <c r="D7141">
        <v>300</v>
      </c>
    </row>
    <row r="7142" spans="1:4" x14ac:dyDescent="0.25">
      <c r="A7142" t="str">
        <f>T("   621020")</f>
        <v xml:space="preserve">   621020</v>
      </c>
      <c r="B7142" t="str">
        <f>T("   Vêtements des types du n° 6201.11 à 6201.19 [manteaux, cabans, capes et articles simil.], caoutchoutés ou imprégnés, enduits ou recouverts de matière plastique ou d'autres substances")</f>
        <v xml:space="preserve">   Vêtements des types du n° 6201.11 à 6201.19 [manteaux, cabans, capes et articles simil.], caoutchoutés ou imprégnés, enduits ou recouverts de matière plastique ou d'autres substances</v>
      </c>
      <c r="C7142">
        <v>195560</v>
      </c>
      <c r="D7142">
        <v>58</v>
      </c>
    </row>
    <row r="7143" spans="1:4" x14ac:dyDescent="0.25">
      <c r="A7143" t="str">
        <f>T("   621040")</f>
        <v xml:space="preserve">   621040</v>
      </c>
      <c r="B7143" t="s">
        <v>271</v>
      </c>
      <c r="C7143">
        <v>6629189</v>
      </c>
      <c r="D7143">
        <v>14555</v>
      </c>
    </row>
    <row r="7144" spans="1:4" x14ac:dyDescent="0.25">
      <c r="A7144" t="str">
        <f>T("   621149")</f>
        <v xml:space="preserve">   621149</v>
      </c>
      <c r="B7144" t="str">
        <f>T("   Survêtements de sport 'trainings' et autres vêtements n.d.a., de matières textiles, pour femmes ou fillettes (autres que de laine, poils fins, coton, fibres synthétiques ou artificielles, autres qu'en bonneterie)")</f>
        <v xml:space="preserve">   Survêtements de sport 'trainings' et autres vêtements n.d.a., de matières textiles, pour femmes ou fillettes (autres que de laine, poils fins, coton, fibres synthétiques ou artificielles, autres qu'en bonneterie)</v>
      </c>
      <c r="C7144">
        <v>307190</v>
      </c>
      <c r="D7144">
        <v>1076</v>
      </c>
    </row>
    <row r="7145" spans="1:4" x14ac:dyDescent="0.25">
      <c r="A7145" t="str">
        <f>T("   630190")</f>
        <v xml:space="preserve">   630190</v>
      </c>
      <c r="B7145" t="s">
        <v>274</v>
      </c>
      <c r="C7145">
        <v>4912880</v>
      </c>
      <c r="D7145">
        <v>2739</v>
      </c>
    </row>
    <row r="7146" spans="1:4" x14ac:dyDescent="0.25">
      <c r="A7146" t="str">
        <f>T("   630229")</f>
        <v xml:space="preserve">   630229</v>
      </c>
      <c r="B7146" t="str">
        <f>T("   Linge de lit, de matières textiles, imprimé (autre que de coton, fibres synthétiques ou artificielles, autres qu'en bonneterie)")</f>
        <v xml:space="preserve">   Linge de lit, de matières textiles, imprimé (autre que de coton, fibres synthétiques ou artificielles, autres qu'en bonneterie)</v>
      </c>
      <c r="C7146">
        <v>285343</v>
      </c>
      <c r="D7146">
        <v>100</v>
      </c>
    </row>
    <row r="7147" spans="1:4" x14ac:dyDescent="0.25">
      <c r="A7147" t="str">
        <f>T("   630231")</f>
        <v xml:space="preserve">   630231</v>
      </c>
      <c r="B7147" t="str">
        <f>T("   Linge de lit de coton (autre qu'imprimé, autre qu'en bonneterie)")</f>
        <v xml:space="preserve">   Linge de lit de coton (autre qu'imprimé, autre qu'en bonneterie)</v>
      </c>
      <c r="C7147">
        <v>6698124</v>
      </c>
      <c r="D7147">
        <v>6340</v>
      </c>
    </row>
    <row r="7148" spans="1:4" x14ac:dyDescent="0.25">
      <c r="A7148" t="str">
        <f>T("   630239")</f>
        <v xml:space="preserve">   630239</v>
      </c>
      <c r="B7148" t="str">
        <f>T("   Linge de lit de matières textiles (autres que de coton, fibres synthétiques ou artificielles, autre qu'imprimé, autre qu'en bonneterie)")</f>
        <v xml:space="preserve">   Linge de lit de matières textiles (autres que de coton, fibres synthétiques ou artificielles, autre qu'imprimé, autre qu'en bonneterie)</v>
      </c>
      <c r="C7148">
        <v>350405</v>
      </c>
      <c r="D7148">
        <v>228</v>
      </c>
    </row>
    <row r="7149" spans="1:4" x14ac:dyDescent="0.25">
      <c r="A7149" t="str">
        <f>T("   630259")</f>
        <v xml:space="preserve">   630259</v>
      </c>
      <c r="B7149" t="str">
        <f>T("   LINGE DE TABLE DE MATIÈRES TEXTILES (AUTRE QUE DE COTON, FIBRES SYNTHÉTIQUES OU ARTIFICIELLES, AUTRE QU'EN BONNETERIE)")</f>
        <v xml:space="preserve">   LINGE DE TABLE DE MATIÈRES TEXTILES (AUTRE QUE DE COTON, FIBRES SYNTHÉTIQUES OU ARTIFICIELLES, AUTRE QU'EN BONNETERIE)</v>
      </c>
      <c r="C7149">
        <v>1374236</v>
      </c>
      <c r="D7149">
        <v>1857</v>
      </c>
    </row>
    <row r="7150" spans="1:4" x14ac:dyDescent="0.25">
      <c r="A7150" t="str">
        <f>T("   630260")</f>
        <v xml:space="preserve">   630260</v>
      </c>
      <c r="B7150" t="str">
        <f>T("   Linge de toilette ou de cuisine, bouclé du genre éponge, de coton (sauf serpillières, chiffons à parquet, lavettes et chamoisettes)")</f>
        <v xml:space="preserve">   Linge de toilette ou de cuisine, bouclé du genre éponge, de coton (sauf serpillières, chiffons à parquet, lavettes et chamoisettes)</v>
      </c>
      <c r="C7150">
        <v>878169</v>
      </c>
      <c r="D7150">
        <v>565</v>
      </c>
    </row>
    <row r="7151" spans="1:4" x14ac:dyDescent="0.25">
      <c r="A7151" t="str">
        <f>T("   630311")</f>
        <v xml:space="preserve">   630311</v>
      </c>
      <c r="B7151" t="str">
        <f>T("   Vitrages, rideaux et stores d'intérieur ainsi que cantonnières et tours de lit, en bonneterie, de coton (autres que stores d'extérieur)")</f>
        <v xml:space="preserve">   Vitrages, rideaux et stores d'intérieur ainsi que cantonnières et tours de lit, en bonneterie, de coton (autres que stores d'extérieur)</v>
      </c>
      <c r="C7151">
        <v>2916398</v>
      </c>
      <c r="D7151">
        <v>3250</v>
      </c>
    </row>
    <row r="7152" spans="1:4" x14ac:dyDescent="0.25">
      <c r="A7152" t="str">
        <f>T("   630392")</f>
        <v xml:space="preserve">   630392</v>
      </c>
      <c r="B7152" t="str">
        <f>T("   Vitrages, rideaux et stores d'intérieur ainsi que cantonnières et tours de lit, de fibres synthétiques (autres qu'en bonneterie et autres que stores d'extérieur)")</f>
        <v xml:space="preserve">   Vitrages, rideaux et stores d'intérieur ainsi que cantonnières et tours de lit, de fibres synthétiques (autres qu'en bonneterie et autres que stores d'extérieur)</v>
      </c>
      <c r="C7152">
        <v>4570267</v>
      </c>
      <c r="D7152">
        <v>3524</v>
      </c>
    </row>
    <row r="7153" spans="1:4" x14ac:dyDescent="0.25">
      <c r="A7153" t="str">
        <f>T("   630399")</f>
        <v xml:space="preserve">   630399</v>
      </c>
      <c r="B7153" t="str">
        <f>T("   Vitrages, rideaux et stores d'intérieur ainsi que cantonnières et tours de lit, de matières textiles (autres que de coton et fibres synthétiques, autres qu'en bonneterie et autres que stores d'extérieur)")</f>
        <v xml:space="preserve">   Vitrages, rideaux et stores d'intérieur ainsi que cantonnières et tours de lit, de matières textiles (autres que de coton et fibres synthétiques, autres qu'en bonneterie et autres que stores d'extérieur)</v>
      </c>
      <c r="C7153">
        <v>527366</v>
      </c>
      <c r="D7153">
        <v>880</v>
      </c>
    </row>
    <row r="7154" spans="1:4" x14ac:dyDescent="0.25">
      <c r="A7154" t="str">
        <f>T("   630493")</f>
        <v xml:space="preserve">   630493</v>
      </c>
      <c r="B7154" t="s">
        <v>276</v>
      </c>
      <c r="C7154">
        <v>1334031</v>
      </c>
      <c r="D7154">
        <v>455</v>
      </c>
    </row>
    <row r="7155" spans="1:4" x14ac:dyDescent="0.25">
      <c r="A7155" t="str">
        <f>T("   630641")</f>
        <v xml:space="preserve">   630641</v>
      </c>
      <c r="B7155" t="str">
        <f>T("   MATELAS PNEUMATIQUES DE COTON")</f>
        <v xml:space="preserve">   MATELAS PNEUMATIQUES DE COTON</v>
      </c>
      <c r="C7155">
        <v>50000</v>
      </c>
      <c r="D7155">
        <v>1500</v>
      </c>
    </row>
    <row r="7156" spans="1:4" x14ac:dyDescent="0.25">
      <c r="A7156" t="str">
        <f>T("   630710")</f>
        <v xml:space="preserve">   630710</v>
      </c>
      <c r="B7156" t="str">
        <f>T("   Serpillières ou wassingues, lavettes, chamoisettes et articles d'entretien simil. en tous types de matières textiles")</f>
        <v xml:space="preserve">   Serpillières ou wassingues, lavettes, chamoisettes et articles d'entretien simil. en tous types de matières textiles</v>
      </c>
      <c r="C7156">
        <v>6000722</v>
      </c>
      <c r="D7156">
        <v>1500</v>
      </c>
    </row>
    <row r="7157" spans="1:4" x14ac:dyDescent="0.25">
      <c r="A7157" t="str">
        <f>T("   630900")</f>
        <v xml:space="preserve">   630900</v>
      </c>
      <c r="B7157" t="s">
        <v>278</v>
      </c>
      <c r="C7157">
        <v>204063786</v>
      </c>
      <c r="D7157">
        <v>410804</v>
      </c>
    </row>
    <row r="7158" spans="1:4" x14ac:dyDescent="0.25">
      <c r="A7158" t="str">
        <f>T("   640319")</f>
        <v xml:space="preserve">   640319</v>
      </c>
      <c r="B7158" t="s">
        <v>284</v>
      </c>
      <c r="C7158">
        <v>202980</v>
      </c>
      <c r="D7158">
        <v>408</v>
      </c>
    </row>
    <row r="7159" spans="1:4" x14ac:dyDescent="0.25">
      <c r="A7159" t="str">
        <f>T("   640590")</f>
        <v xml:space="preserve">   640590</v>
      </c>
      <c r="B7159" t="s">
        <v>289</v>
      </c>
      <c r="C7159">
        <v>190000</v>
      </c>
      <c r="D7159">
        <v>600</v>
      </c>
    </row>
    <row r="7160" spans="1:4" x14ac:dyDescent="0.25">
      <c r="A7160" t="str">
        <f>T("   650610")</f>
        <v xml:space="preserve">   650610</v>
      </c>
      <c r="B7160" t="str">
        <f>T("   Coiffures de sécurité, même garnies")</f>
        <v xml:space="preserve">   Coiffures de sécurité, même garnies</v>
      </c>
      <c r="C7160">
        <v>106265</v>
      </c>
      <c r="D7160">
        <v>60</v>
      </c>
    </row>
    <row r="7161" spans="1:4" x14ac:dyDescent="0.25">
      <c r="A7161" t="str">
        <f>T("   660110")</f>
        <v xml:space="preserve">   660110</v>
      </c>
      <c r="B7161" t="str">
        <f>T("   Parasols de jardin et articles simil. (sauf tentes de plage)")</f>
        <v xml:space="preserve">   Parasols de jardin et articles simil. (sauf tentes de plage)</v>
      </c>
      <c r="C7161">
        <v>1869465</v>
      </c>
      <c r="D7161">
        <v>1837</v>
      </c>
    </row>
    <row r="7162" spans="1:4" x14ac:dyDescent="0.25">
      <c r="A7162" t="str">
        <f>T("   670210")</f>
        <v xml:space="preserve">   670210</v>
      </c>
      <c r="B7162" t="str">
        <f>T("   Fleurs, feuillages et fruits artificiels, y.c. leurs parties; articles confectionnés en fleurs, feuillages ou fruits artificiels fabriqués par ligature, collage, emboîtage ou procédés simil., en matières plastiques")</f>
        <v xml:space="preserve">   Fleurs, feuillages et fruits artificiels, y.c. leurs parties; articles confectionnés en fleurs, feuillages ou fruits artificiels fabriqués par ligature, collage, emboîtage ou procédés simil., en matières plastiques</v>
      </c>
      <c r="C7162">
        <v>1405454</v>
      </c>
      <c r="D7162">
        <v>940</v>
      </c>
    </row>
    <row r="7163" spans="1:4" x14ac:dyDescent="0.25">
      <c r="A7163" t="str">
        <f>T("   670490")</f>
        <v xml:space="preserve">   670490</v>
      </c>
      <c r="B7163" t="str">
        <f>T("   Perruques, barbes, sourcils, cils, mèches et articles simil., en poils ou matières textiles (sauf matières textiles synthétiques)")</f>
        <v xml:space="preserve">   Perruques, barbes, sourcils, cils, mèches et articles simil., en poils ou matières textiles (sauf matières textiles synthétiques)</v>
      </c>
      <c r="C7163">
        <v>50000</v>
      </c>
      <c r="D7163">
        <v>346</v>
      </c>
    </row>
    <row r="7164" spans="1:4" x14ac:dyDescent="0.25">
      <c r="A7164" t="str">
        <f>T("   680210")</f>
        <v xml:space="preserve">   680210</v>
      </c>
      <c r="B7164" t="s">
        <v>292</v>
      </c>
      <c r="C7164">
        <v>7040000</v>
      </c>
      <c r="D7164">
        <v>79215</v>
      </c>
    </row>
    <row r="7165" spans="1:4" x14ac:dyDescent="0.25">
      <c r="A7165" t="str">
        <f>T("   680221")</f>
        <v xml:space="preserve">   680221</v>
      </c>
      <c r="B7165" t="s">
        <v>293</v>
      </c>
      <c r="C7165">
        <v>162022</v>
      </c>
      <c r="D7165">
        <v>475</v>
      </c>
    </row>
    <row r="7166" spans="1:4" x14ac:dyDescent="0.25">
      <c r="A7166" t="str">
        <f>T("   680790")</f>
        <v xml:space="preserve">   680790</v>
      </c>
      <c r="B7166" t="str">
        <f>T("   Ouvrages en asphalte ou en produits simil., p.ex. poix de pétrole, brais (autres qu'en rouleaux)")</f>
        <v xml:space="preserve">   Ouvrages en asphalte ou en produits simil., p.ex. poix de pétrole, brais (autres qu'en rouleaux)</v>
      </c>
      <c r="C7166">
        <v>23701147</v>
      </c>
      <c r="D7166">
        <v>65000</v>
      </c>
    </row>
    <row r="7167" spans="1:4" x14ac:dyDescent="0.25">
      <c r="A7167" t="str">
        <f>T("   680990")</f>
        <v xml:space="preserve">   680990</v>
      </c>
      <c r="B7167" t="s">
        <v>302</v>
      </c>
      <c r="C7167">
        <v>262384</v>
      </c>
      <c r="D7167">
        <v>530</v>
      </c>
    </row>
    <row r="7168" spans="1:4" x14ac:dyDescent="0.25">
      <c r="A7168" t="str">
        <f>T("   681019")</f>
        <v xml:space="preserve">   681019</v>
      </c>
      <c r="B7168" t="str">
        <f>T("   Tuiles, carreaux, dalles et articles simil., en ciment, en béton ou en pierre artificielle (autres que blocs et briques pour la construction)")</f>
        <v xml:space="preserve">   Tuiles, carreaux, dalles et articles simil., en ciment, en béton ou en pierre artificielle (autres que blocs et briques pour la construction)</v>
      </c>
      <c r="C7168">
        <v>24004333</v>
      </c>
      <c r="D7168">
        <v>159400</v>
      </c>
    </row>
    <row r="7169" spans="1:4" x14ac:dyDescent="0.25">
      <c r="A7169" t="str">
        <f>T("   681110")</f>
        <v xml:space="preserve">   681110</v>
      </c>
      <c r="B7169" t="str">
        <f>T("   Plaques ondulées en amiante-ciment, cellulose-ciment ou simil.")</f>
        <v xml:space="preserve">   Plaques ondulées en amiante-ciment, cellulose-ciment ou simil.</v>
      </c>
      <c r="C7169">
        <v>16421302</v>
      </c>
      <c r="D7169">
        <v>288500</v>
      </c>
    </row>
    <row r="7170" spans="1:4" x14ac:dyDescent="0.25">
      <c r="A7170" t="str">
        <f>T("   681120")</f>
        <v xml:space="preserve">   681120</v>
      </c>
      <c r="B7170" t="str">
        <f>T("   Plaques, panneaux, carreaux, tuiles et articles simil., en amiante-ciment, cellulose-ciment ou simil. (sauf plaques ondulées)")</f>
        <v xml:space="preserve">   Plaques, panneaux, carreaux, tuiles et articles simil., en amiante-ciment, cellulose-ciment ou simil. (sauf plaques ondulées)</v>
      </c>
      <c r="C7170">
        <v>36966626</v>
      </c>
      <c r="D7170">
        <v>580000</v>
      </c>
    </row>
    <row r="7171" spans="1:4" x14ac:dyDescent="0.25">
      <c r="A7171" t="str">
        <f>T("   690490")</f>
        <v xml:space="preserve">   690490</v>
      </c>
      <c r="B7171" t="s">
        <v>307</v>
      </c>
      <c r="C7171">
        <v>99706</v>
      </c>
      <c r="D7171">
        <v>950</v>
      </c>
    </row>
    <row r="7172" spans="1:4" x14ac:dyDescent="0.25">
      <c r="A7172" t="str">
        <f>T("   690790")</f>
        <v xml:space="preserve">   690790</v>
      </c>
      <c r="B7172" t="s">
        <v>310</v>
      </c>
      <c r="C7172">
        <v>61366495</v>
      </c>
      <c r="D7172">
        <v>533139</v>
      </c>
    </row>
    <row r="7173" spans="1:4" x14ac:dyDescent="0.25">
      <c r="A7173" t="str">
        <f>T("   690890")</f>
        <v xml:space="preserve">   690890</v>
      </c>
      <c r="B7173" t="s">
        <v>311</v>
      </c>
      <c r="C7173">
        <v>117550864</v>
      </c>
      <c r="D7173">
        <v>1042962</v>
      </c>
    </row>
    <row r="7174" spans="1:4" x14ac:dyDescent="0.25">
      <c r="A7174" t="str">
        <f>T("   691090")</f>
        <v xml:space="preserve">   691090</v>
      </c>
      <c r="B7174" t="s">
        <v>313</v>
      </c>
      <c r="C7174">
        <v>31353963</v>
      </c>
      <c r="D7174">
        <v>18111</v>
      </c>
    </row>
    <row r="7175" spans="1:4" x14ac:dyDescent="0.25">
      <c r="A7175" t="str">
        <f>T("   691110")</f>
        <v xml:space="preserve">   691110</v>
      </c>
      <c r="B7175" t="s">
        <v>314</v>
      </c>
      <c r="C7175">
        <v>4585916</v>
      </c>
      <c r="D7175">
        <v>15645</v>
      </c>
    </row>
    <row r="7176" spans="1:4" x14ac:dyDescent="0.25">
      <c r="A7176" t="str">
        <f>T("   691190")</f>
        <v xml:space="preserve">   691190</v>
      </c>
      <c r="B7176" t="s">
        <v>315</v>
      </c>
      <c r="C7176">
        <v>983147</v>
      </c>
      <c r="D7176">
        <v>3401</v>
      </c>
    </row>
    <row r="7177" spans="1:4" x14ac:dyDescent="0.25">
      <c r="A7177" t="str">
        <f>T("   691200")</f>
        <v xml:space="preserve">   691200</v>
      </c>
      <c r="B7177" t="s">
        <v>316</v>
      </c>
      <c r="C7177">
        <v>2056412</v>
      </c>
      <c r="D7177">
        <v>3316</v>
      </c>
    </row>
    <row r="7178" spans="1:4" x14ac:dyDescent="0.25">
      <c r="A7178" t="str">
        <f>T("   691390")</f>
        <v xml:space="preserve">   691390</v>
      </c>
      <c r="B7178" t="str">
        <f>T("   Statuettes et autres objets d'ornementation en céramique autres que la porcelaine n.d.a.")</f>
        <v xml:space="preserve">   Statuettes et autres objets d'ornementation en céramique autres que la porcelaine n.d.a.</v>
      </c>
      <c r="C7178">
        <v>1770816</v>
      </c>
      <c r="D7178">
        <v>5030</v>
      </c>
    </row>
    <row r="7179" spans="1:4" x14ac:dyDescent="0.25">
      <c r="A7179" t="str">
        <f>T("   700529")</f>
        <v xml:space="preserve">   700529</v>
      </c>
      <c r="B7179" t="s">
        <v>318</v>
      </c>
      <c r="C7179">
        <v>233791</v>
      </c>
      <c r="D7179">
        <v>100</v>
      </c>
    </row>
    <row r="7180" spans="1:4" x14ac:dyDescent="0.25">
      <c r="A7180" t="str">
        <f>T("   700800")</f>
        <v xml:space="preserve">   700800</v>
      </c>
      <c r="B7180" t="str">
        <f>T("   Vitrages isolants à parois multiples")</f>
        <v xml:space="preserve">   Vitrages isolants à parois multiples</v>
      </c>
      <c r="C7180">
        <v>1056961</v>
      </c>
      <c r="D7180">
        <v>660</v>
      </c>
    </row>
    <row r="7181" spans="1:4" x14ac:dyDescent="0.25">
      <c r="A7181" t="str">
        <f>T("   700992")</f>
        <v xml:space="preserve">   700992</v>
      </c>
      <c r="B7181" t="str">
        <f>T("   Miroirs, en verre encadrés (sauf miroirs rétroviseurs pour véhicules)")</f>
        <v xml:space="preserve">   Miroirs, en verre encadrés (sauf miroirs rétroviseurs pour véhicules)</v>
      </c>
      <c r="C7181">
        <v>3898102</v>
      </c>
      <c r="D7181">
        <v>6672</v>
      </c>
    </row>
    <row r="7182" spans="1:4" x14ac:dyDescent="0.25">
      <c r="A7182" t="str">
        <f>T("   701090")</f>
        <v xml:space="preserve">   701090</v>
      </c>
      <c r="B7182" t="s">
        <v>323</v>
      </c>
      <c r="C7182">
        <v>140000</v>
      </c>
      <c r="D7182">
        <v>1</v>
      </c>
    </row>
    <row r="7183" spans="1:4" x14ac:dyDescent="0.25">
      <c r="A7183" t="str">
        <f>T("   701310")</f>
        <v xml:space="preserve">   701310</v>
      </c>
      <c r="B7183" t="s">
        <v>327</v>
      </c>
      <c r="C7183">
        <v>74778</v>
      </c>
      <c r="D7183">
        <v>80</v>
      </c>
    </row>
    <row r="7184" spans="1:4" x14ac:dyDescent="0.25">
      <c r="A7184" t="str">
        <f>T("   701329")</f>
        <v xml:space="preserve">   701329</v>
      </c>
      <c r="B7184" t="str">
        <f>T("   Verres à boire (autres qu'en vitrocérame, autres qu'en cristal au plomb)")</f>
        <v xml:space="preserve">   Verres à boire (autres qu'en vitrocérame, autres qu'en cristal au plomb)</v>
      </c>
      <c r="C7184">
        <v>4003323</v>
      </c>
      <c r="D7184">
        <v>5440</v>
      </c>
    </row>
    <row r="7185" spans="1:4" x14ac:dyDescent="0.25">
      <c r="A7185" t="str">
        <f>T("   701339")</f>
        <v xml:space="preserve">   701339</v>
      </c>
      <c r="B7185" t="s">
        <v>330</v>
      </c>
      <c r="C7185">
        <v>1860302</v>
      </c>
      <c r="D7185">
        <v>1332</v>
      </c>
    </row>
    <row r="7186" spans="1:4" x14ac:dyDescent="0.25">
      <c r="A7186" t="str">
        <f>T("   701399")</f>
        <v xml:space="preserve">   701399</v>
      </c>
      <c r="B7186" t="s">
        <v>332</v>
      </c>
      <c r="C7186">
        <v>17503712</v>
      </c>
      <c r="D7186">
        <v>30724</v>
      </c>
    </row>
    <row r="7187" spans="1:4" x14ac:dyDescent="0.25">
      <c r="A7187" t="str">
        <f>T("   701939")</f>
        <v xml:space="preserve">   701939</v>
      </c>
      <c r="B7187" t="str">
        <f>T("   Nappes, matelas, panneaux et produits simil., non tissés, de fibres de verre (à l'excl. des mats et des voiles)")</f>
        <v xml:space="preserve">   Nappes, matelas, panneaux et produits simil., non tissés, de fibres de verre (à l'excl. des mats et des voiles)</v>
      </c>
      <c r="C7187">
        <v>3950191</v>
      </c>
      <c r="D7187">
        <v>3000</v>
      </c>
    </row>
    <row r="7188" spans="1:4" x14ac:dyDescent="0.25">
      <c r="A7188" t="str">
        <f>T("   701990")</f>
        <v xml:space="preserve">   701990</v>
      </c>
      <c r="B7188" t="s">
        <v>340</v>
      </c>
      <c r="C7188">
        <v>314205</v>
      </c>
      <c r="D7188">
        <v>890</v>
      </c>
    </row>
    <row r="7189" spans="1:4" x14ac:dyDescent="0.25">
      <c r="A7189" t="str">
        <f>T("   702000")</f>
        <v xml:space="preserve">   702000</v>
      </c>
      <c r="B7189" t="str">
        <f>T("   Ouvrages en verre n.d.a.")</f>
        <v xml:space="preserve">   Ouvrages en verre n.d.a.</v>
      </c>
      <c r="C7189">
        <v>1081022</v>
      </c>
      <c r="D7189">
        <v>1010</v>
      </c>
    </row>
    <row r="7190" spans="1:4" x14ac:dyDescent="0.25">
      <c r="A7190" t="str">
        <f>T("   711319")</f>
        <v xml:space="preserve">   711319</v>
      </c>
      <c r="B7190" t="str">
        <f>T("   Articles de bijouterie ou de joaillerie et leurs parties, en métaux précieux autres que l'argent, même revêtus, plaqués ou doublés de métaux précieux (sauf &gt; 100 ans)")</f>
        <v xml:space="preserve">   Articles de bijouterie ou de joaillerie et leurs parties, en métaux précieux autres que l'argent, même revêtus, plaqués ou doublés de métaux précieux (sauf &gt; 100 ans)</v>
      </c>
      <c r="C7190">
        <v>50739</v>
      </c>
      <c r="D7190">
        <v>208</v>
      </c>
    </row>
    <row r="7191" spans="1:4" x14ac:dyDescent="0.25">
      <c r="A7191" t="str">
        <f>T("   711420")</f>
        <v xml:space="preserve">   711420</v>
      </c>
      <c r="B7191" t="s">
        <v>341</v>
      </c>
      <c r="C7191">
        <v>368650</v>
      </c>
      <c r="D7191">
        <v>766</v>
      </c>
    </row>
    <row r="7192" spans="1:4" x14ac:dyDescent="0.25">
      <c r="A7192" t="str">
        <f>T("   721049")</f>
        <v xml:space="preserve">   721049</v>
      </c>
      <c r="B7192" t="str">
        <f>T("   Produits laminés plats, en fer ou en aciers non alliés, d'une largeur &gt;= 600 mm, laminés à chaud ou à froid, zingués, non ondulés (à l'excl. des produits zingués électrolytiquement)")</f>
        <v xml:space="preserve">   Produits laminés plats, en fer ou en aciers non alliés, d'une largeur &gt;= 600 mm, laminés à chaud ou à froid, zingués, non ondulés (à l'excl. des produits zingués électrolytiquement)</v>
      </c>
      <c r="C7192">
        <v>31137003</v>
      </c>
      <c r="D7192">
        <v>36103</v>
      </c>
    </row>
    <row r="7193" spans="1:4" x14ac:dyDescent="0.25">
      <c r="A7193" t="str">
        <f>T("   721720")</f>
        <v xml:space="preserve">   721720</v>
      </c>
      <c r="B7193" t="str">
        <f>T("   FILS EN FER OU EN ACIERS NON-ALLIÉS, ENROULÉS, ZINGUÉS (À L'EXCL. DU FIL MACHINE)")</f>
        <v xml:space="preserve">   FILS EN FER OU EN ACIERS NON-ALLIÉS, ENROULÉS, ZINGUÉS (À L'EXCL. DU FIL MACHINE)</v>
      </c>
      <c r="C7193">
        <v>1678227</v>
      </c>
      <c r="D7193">
        <v>1000</v>
      </c>
    </row>
    <row r="7194" spans="1:4" x14ac:dyDescent="0.25">
      <c r="A7194" t="str">
        <f>T("   730410")</f>
        <v xml:space="preserve">   730410</v>
      </c>
      <c r="B7194" t="str">
        <f>T("   Tubes et tuyaux sans soudure, en fer (à l'excl. de la fonte) ou en acier, des types utilisés pour oléoducs ou gazoducs")</f>
        <v xml:space="preserve">   Tubes et tuyaux sans soudure, en fer (à l'excl. de la fonte) ou en acier, des types utilisés pour oléoducs ou gazoducs</v>
      </c>
      <c r="C7194">
        <v>229381620</v>
      </c>
      <c r="D7194">
        <v>355162</v>
      </c>
    </row>
    <row r="7195" spans="1:4" x14ac:dyDescent="0.25">
      <c r="A7195" t="str">
        <f>T("   730690")</f>
        <v xml:space="preserve">   730690</v>
      </c>
      <c r="B7195" t="str">
        <f>T("   Tubes, tuyaux et profilés creux [p.ex. rivés, agrafés ou à bords simplement rapprochés], en fer ou en acier (sauf tubes sans soudure ou soudés et tubes de sections intérieure et extérieure circulaires et d'un diamètre extérieur &gt; 406,4 mm)")</f>
        <v xml:space="preserve">   Tubes, tuyaux et profilés creux [p.ex. rivés, agrafés ou à bords simplement rapprochés], en fer ou en acier (sauf tubes sans soudure ou soudés et tubes de sections intérieure et extérieure circulaires et d'un diamètre extérieur &gt; 406,4 mm)</v>
      </c>
      <c r="C7195">
        <v>2408030</v>
      </c>
      <c r="D7195">
        <v>650</v>
      </c>
    </row>
    <row r="7196" spans="1:4" x14ac:dyDescent="0.25">
      <c r="A7196" t="str">
        <f>T("   730799")</f>
        <v xml:space="preserve">   730799</v>
      </c>
      <c r="B7196" t="str">
        <f>T("   Accessoires de tuyauterie, en fer ou aciers (autres que moulés ou en aciers inoxydables; sauf brides; coudes, courbes et manchons, filetés et sauf accessoires à souder bout à bout)")</f>
        <v xml:space="preserve">   Accessoires de tuyauterie, en fer ou aciers (autres que moulés ou en aciers inoxydables; sauf brides; coudes, courbes et manchons, filetés et sauf accessoires à souder bout à bout)</v>
      </c>
      <c r="C7196">
        <v>1430091</v>
      </c>
      <c r="D7196">
        <v>40</v>
      </c>
    </row>
    <row r="7197" spans="1:4" x14ac:dyDescent="0.25">
      <c r="A7197" t="str">
        <f>T("   730830")</f>
        <v xml:space="preserve">   730830</v>
      </c>
      <c r="B7197" t="str">
        <f>T("   Portes, fenêtres et leurs cadres et chambranles ainsi que leurs seuils, en fer ou en acier")</f>
        <v xml:space="preserve">   Portes, fenêtres et leurs cadres et chambranles ainsi que leurs seuils, en fer ou en acier</v>
      </c>
      <c r="C7197">
        <v>2146301</v>
      </c>
      <c r="D7197">
        <v>525</v>
      </c>
    </row>
    <row r="7198" spans="1:4" x14ac:dyDescent="0.25">
      <c r="A7198" t="str">
        <f>T("   730840")</f>
        <v xml:space="preserve">   730840</v>
      </c>
      <c r="B7198" t="str">
        <f>T("   Matériel d'échafaudage, de coffrage ou d'étayage, en fer ou en acier (autre que palplanches assemblées et coffrages pour béton, qui présentent les caractéristiques de moules)")</f>
        <v xml:space="preserve">   Matériel d'échafaudage, de coffrage ou d'étayage, en fer ou en acier (autre que palplanches assemblées et coffrages pour béton, qui présentent les caractéristiques de moules)</v>
      </c>
      <c r="C7198">
        <v>5500000</v>
      </c>
      <c r="D7198">
        <v>10000</v>
      </c>
    </row>
    <row r="7199" spans="1:4" x14ac:dyDescent="0.25">
      <c r="A7199" t="str">
        <f>T("   730890")</f>
        <v xml:space="preserve">   730890</v>
      </c>
      <c r="B7199" t="s">
        <v>355</v>
      </c>
      <c r="C7199">
        <v>25705105</v>
      </c>
      <c r="D7199">
        <v>32487</v>
      </c>
    </row>
    <row r="7200" spans="1:4" x14ac:dyDescent="0.25">
      <c r="A7200" t="str">
        <f>T("   731029")</f>
        <v xml:space="preserve">   731029</v>
      </c>
      <c r="B7200" t="str">
        <f>T("   Réservoirs, fûts, tambours, bidons et récipients simil., en fer ou en acier, pour toutes matières, contenance &lt; 50 l, n.d.a. (sauf pour gaz comprimés ou liquéfiés, sans dispositifs mécaniques ou thermiques et à l'excl. des boîtes)")</f>
        <v xml:space="preserve">   Réservoirs, fûts, tambours, bidons et récipients simil., en fer ou en acier, pour toutes matières, contenance &lt; 50 l, n.d.a. (sauf pour gaz comprimés ou liquéfiés, sans dispositifs mécaniques ou thermiques et à l'excl. des boîtes)</v>
      </c>
      <c r="C7200">
        <v>13342882</v>
      </c>
      <c r="D7200">
        <v>8709</v>
      </c>
    </row>
    <row r="7201" spans="1:4" x14ac:dyDescent="0.25">
      <c r="A7201" t="str">
        <f>T("   731300")</f>
        <v xml:space="preserve">   731300</v>
      </c>
      <c r="B7201" t="str">
        <f>T("   Ronces artificielles en fer ou en acier; torsades, barbelées ou non, en fils ou en feuillard de fer ou d'acier, des types utilisés pour les clôtures")</f>
        <v xml:space="preserve">   Ronces artificielles en fer ou en acier; torsades, barbelées ou non, en fils ou en feuillard de fer ou d'acier, des types utilisés pour les clôtures</v>
      </c>
      <c r="C7201">
        <v>633657</v>
      </c>
      <c r="D7201">
        <v>528</v>
      </c>
    </row>
    <row r="7202" spans="1:4" x14ac:dyDescent="0.25">
      <c r="A7202" t="str">
        <f>T("   731815")</f>
        <v xml:space="preserve">   731815</v>
      </c>
      <c r="B7202" t="s">
        <v>359</v>
      </c>
      <c r="C7202">
        <v>2503433</v>
      </c>
      <c r="D7202">
        <v>647</v>
      </c>
    </row>
    <row r="7203" spans="1:4" x14ac:dyDescent="0.25">
      <c r="A7203" t="str">
        <f>T("   731822")</f>
        <v xml:space="preserve">   731822</v>
      </c>
      <c r="B7203" t="str">
        <f>T("   Rondelles en fonte, fer ou acier (sauf rondelles destinées à faire ressort et autres rondelles de blocage)")</f>
        <v xml:space="preserve">   Rondelles en fonte, fer ou acier (sauf rondelles destinées à faire ressort et autres rondelles de blocage)</v>
      </c>
      <c r="C7203">
        <v>545759</v>
      </c>
      <c r="D7203">
        <v>2</v>
      </c>
    </row>
    <row r="7204" spans="1:4" x14ac:dyDescent="0.25">
      <c r="A7204" t="str">
        <f>T("   731824")</f>
        <v xml:space="preserve">   731824</v>
      </c>
      <c r="B7204" t="str">
        <f>T("   Goupilles, chevilles et clavettes en fonte, fer ou acier")</f>
        <v xml:space="preserve">   Goupilles, chevilles et clavettes en fonte, fer ou acier</v>
      </c>
      <c r="C7204">
        <v>712373</v>
      </c>
      <c r="D7204">
        <v>191</v>
      </c>
    </row>
    <row r="7205" spans="1:4" x14ac:dyDescent="0.25">
      <c r="A7205" t="str">
        <f>T("   731829")</f>
        <v xml:space="preserve">   731829</v>
      </c>
      <c r="B7205" t="str">
        <f>T("   Articles de boulonnerie et de visserie non filetés, en fonte, fer ou acier, n.d.a.")</f>
        <v xml:space="preserve">   Articles de boulonnerie et de visserie non filetés, en fonte, fer ou acier, n.d.a.</v>
      </c>
      <c r="C7205">
        <v>8148531</v>
      </c>
      <c r="D7205">
        <v>63</v>
      </c>
    </row>
    <row r="7206" spans="1:4" x14ac:dyDescent="0.25">
      <c r="A7206" t="str">
        <f>T("   732090")</f>
        <v xml:space="preserve">   732090</v>
      </c>
      <c r="B7206" t="s">
        <v>360</v>
      </c>
      <c r="C7206">
        <v>1212870</v>
      </c>
      <c r="D7206">
        <v>41</v>
      </c>
    </row>
    <row r="7207" spans="1:4" x14ac:dyDescent="0.25">
      <c r="A7207" t="str">
        <f>T("   732111")</f>
        <v xml:space="preserve">   732111</v>
      </c>
      <c r="B7207" t="s">
        <v>361</v>
      </c>
      <c r="C7207">
        <v>23720905</v>
      </c>
      <c r="D7207">
        <v>15566</v>
      </c>
    </row>
    <row r="7208" spans="1:4" x14ac:dyDescent="0.25">
      <c r="A7208" t="str">
        <f>T("   732112")</f>
        <v xml:space="preserve">   732112</v>
      </c>
      <c r="B7208" t="s">
        <v>362</v>
      </c>
      <c r="C7208">
        <v>2575299</v>
      </c>
      <c r="D7208">
        <v>92</v>
      </c>
    </row>
    <row r="7209" spans="1:4" x14ac:dyDescent="0.25">
      <c r="A7209" t="str">
        <f>T("   732181")</f>
        <v xml:space="preserve">   732181</v>
      </c>
      <c r="B7209" t="s">
        <v>363</v>
      </c>
      <c r="C7209">
        <v>24431919</v>
      </c>
      <c r="D7209">
        <v>2612</v>
      </c>
    </row>
    <row r="7210" spans="1:4" x14ac:dyDescent="0.25">
      <c r="A7210" t="str">
        <f>T("   732190")</f>
        <v xml:space="preserve">   732190</v>
      </c>
      <c r="B7210" t="str">
        <f>T("   Parties des appareils ménagers chauffants non-électriques du n° 7321, n.d.a.")</f>
        <v xml:space="preserve">   Parties des appareils ménagers chauffants non-électriques du n° 7321, n.d.a.</v>
      </c>
      <c r="C7210">
        <v>41166603</v>
      </c>
      <c r="D7210">
        <v>4390</v>
      </c>
    </row>
    <row r="7211" spans="1:4" x14ac:dyDescent="0.25">
      <c r="A7211" t="str">
        <f>T("   732393")</f>
        <v xml:space="preserve">   732393</v>
      </c>
      <c r="B7211" t="s">
        <v>366</v>
      </c>
      <c r="C7211">
        <v>303428</v>
      </c>
      <c r="D7211">
        <v>280</v>
      </c>
    </row>
    <row r="7212" spans="1:4" x14ac:dyDescent="0.25">
      <c r="A7212" t="str">
        <f>T("   732394")</f>
        <v xml:space="preserve">   732394</v>
      </c>
      <c r="B7212" t="s">
        <v>367</v>
      </c>
      <c r="C7212">
        <v>1465936</v>
      </c>
      <c r="D7212">
        <v>3417</v>
      </c>
    </row>
    <row r="7213" spans="1:4" x14ac:dyDescent="0.25">
      <c r="A7213" t="str">
        <f>T("   732399")</f>
        <v xml:space="preserve">   732399</v>
      </c>
      <c r="B7213" t="s">
        <v>368</v>
      </c>
      <c r="C7213">
        <v>11914182</v>
      </c>
      <c r="D7213">
        <v>28043</v>
      </c>
    </row>
    <row r="7214" spans="1:4" x14ac:dyDescent="0.25">
      <c r="A7214" t="str">
        <f>T("   732591")</f>
        <v xml:space="preserve">   732591</v>
      </c>
      <c r="B7214" t="str">
        <f>T("   Boulets et simil., pour broyeurs, moulés (sauf en fonte non malléable)")</f>
        <v xml:space="preserve">   Boulets et simil., pour broyeurs, moulés (sauf en fonte non malléable)</v>
      </c>
      <c r="C7214">
        <v>52191457</v>
      </c>
      <c r="D7214">
        <v>70000</v>
      </c>
    </row>
    <row r="7215" spans="1:4" x14ac:dyDescent="0.25">
      <c r="A7215" t="str">
        <f>T("   732620")</f>
        <v xml:space="preserve">   732620</v>
      </c>
      <c r="B7215" t="str">
        <f>T("   Ouvrages en fil de fer ou d'acier, n.d.a.")</f>
        <v xml:space="preserve">   Ouvrages en fil de fer ou d'acier, n.d.a.</v>
      </c>
      <c r="C7215">
        <v>775592</v>
      </c>
      <c r="D7215">
        <v>1296</v>
      </c>
    </row>
    <row r="7216" spans="1:4" x14ac:dyDescent="0.25">
      <c r="A7216" t="str">
        <f>T("   732690")</f>
        <v xml:space="preserve">   732690</v>
      </c>
      <c r="B7216"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7216">
        <v>21554309</v>
      </c>
      <c r="D7216">
        <v>19759</v>
      </c>
    </row>
    <row r="7217" spans="1:4" x14ac:dyDescent="0.25">
      <c r="A7217" t="str">
        <f>T("   741110")</f>
        <v xml:space="preserve">   741110</v>
      </c>
      <c r="B7217" t="str">
        <f>T("   Tubes et tuyaux en cuivre affiné")</f>
        <v xml:space="preserve">   Tubes et tuyaux en cuivre affiné</v>
      </c>
      <c r="C7217">
        <v>235490</v>
      </c>
      <c r="D7217">
        <v>360</v>
      </c>
    </row>
    <row r="7218" spans="1:4" x14ac:dyDescent="0.25">
      <c r="A7218" t="str">
        <f>T("   760410")</f>
        <v xml:space="preserve">   760410</v>
      </c>
      <c r="B7218" t="str">
        <f>T("   BARRES ET PROFILÉS EN ALUMINIUM NON-ALLIÉ, N.D.A.")</f>
        <v xml:space="preserve">   BARRES ET PROFILÉS EN ALUMINIUM NON-ALLIÉ, N.D.A.</v>
      </c>
      <c r="C7218">
        <v>305677</v>
      </c>
      <c r="D7218">
        <v>700</v>
      </c>
    </row>
    <row r="7219" spans="1:4" x14ac:dyDescent="0.25">
      <c r="A7219" t="str">
        <f>T("   760429")</f>
        <v xml:space="preserve">   760429</v>
      </c>
      <c r="B7219" t="str">
        <f>T("   Barres et profilés pleins en alliages d'aluminium, n.d.a.")</f>
        <v xml:space="preserve">   Barres et profilés pleins en alliages d'aluminium, n.d.a.</v>
      </c>
      <c r="C7219">
        <v>6549762</v>
      </c>
      <c r="D7219">
        <v>19879</v>
      </c>
    </row>
    <row r="7220" spans="1:4" x14ac:dyDescent="0.25">
      <c r="A7220" t="str">
        <f>T("   760612")</f>
        <v xml:space="preserve">   760612</v>
      </c>
      <c r="B7220" t="str">
        <f>T("   Tôles et bandes en alliages d'aluminium, d'une épaisseur &gt; 0,2 mm, de forme carrée ou rectangulaire (sauf tôles et bandes déployées)")</f>
        <v xml:space="preserve">   Tôles et bandes en alliages d'aluminium, d'une épaisseur &gt; 0,2 mm, de forme carrée ou rectangulaire (sauf tôles et bandes déployées)</v>
      </c>
      <c r="C7220">
        <v>19966766</v>
      </c>
      <c r="D7220">
        <v>6007</v>
      </c>
    </row>
    <row r="7221" spans="1:4" x14ac:dyDescent="0.25">
      <c r="A7221" t="str">
        <f>T("   760692")</f>
        <v xml:space="preserve">   760692</v>
      </c>
      <c r="B7221" t="str">
        <f>T("   Tôles et bandes en alliages d'aluminium, d'une épaisseur &gt; 0,2 mm, de forme autre que carrée ou rectangulaire")</f>
        <v xml:space="preserve">   Tôles et bandes en alliages d'aluminium, d'une épaisseur &gt; 0,2 mm, de forme autre que carrée ou rectangulaire</v>
      </c>
      <c r="C7221">
        <v>12279572</v>
      </c>
      <c r="D7221">
        <v>3292</v>
      </c>
    </row>
    <row r="7222" spans="1:4" x14ac:dyDescent="0.25">
      <c r="A7222" t="str">
        <f>T("   761010")</f>
        <v xml:space="preserve">   761010</v>
      </c>
      <c r="B7222" t="str">
        <f>T("   Portes, fenêtres et leurs cadres, chambranles et seuils, en aluminium (sauf pièces de garnissage)")</f>
        <v xml:space="preserve">   Portes, fenêtres et leurs cadres, chambranles et seuils, en aluminium (sauf pièces de garnissage)</v>
      </c>
      <c r="C7222">
        <v>544480</v>
      </c>
      <c r="D7222">
        <v>55</v>
      </c>
    </row>
    <row r="7223" spans="1:4" x14ac:dyDescent="0.25">
      <c r="A7223" t="str">
        <f>T("   761519")</f>
        <v xml:space="preserve">   761519</v>
      </c>
      <c r="B7223" t="s">
        <v>373</v>
      </c>
      <c r="C7223">
        <v>1825683</v>
      </c>
      <c r="D7223">
        <v>18070</v>
      </c>
    </row>
    <row r="7224" spans="1:4" x14ac:dyDescent="0.25">
      <c r="A7224" t="str">
        <f>T("   761699")</f>
        <v xml:space="preserve">   761699</v>
      </c>
      <c r="B7224" t="str">
        <f>T("   Ouvrages en aluminium, n.d.a.")</f>
        <v xml:space="preserve">   Ouvrages en aluminium, n.d.a.</v>
      </c>
      <c r="C7224">
        <v>67446714</v>
      </c>
      <c r="D7224">
        <v>24300</v>
      </c>
    </row>
    <row r="7225" spans="1:4" x14ac:dyDescent="0.25">
      <c r="A7225" t="str">
        <f>T("   820299")</f>
        <v xml:space="preserve">   820299</v>
      </c>
      <c r="B7225" t="s">
        <v>376</v>
      </c>
      <c r="C7225">
        <v>5163000</v>
      </c>
      <c r="D7225">
        <v>20113</v>
      </c>
    </row>
    <row r="7226" spans="1:4" x14ac:dyDescent="0.25">
      <c r="A7226" t="str">
        <f>T("   820330")</f>
        <v xml:space="preserve">   820330</v>
      </c>
      <c r="B7226" t="str">
        <f>T("   Cisailles à métaux et outils simil., à main, en métaux communs")</f>
        <v xml:space="preserve">   Cisailles à métaux et outils simil., à main, en métaux communs</v>
      </c>
      <c r="C7226">
        <v>1554286</v>
      </c>
      <c r="D7226">
        <v>7630</v>
      </c>
    </row>
    <row r="7227" spans="1:4" x14ac:dyDescent="0.25">
      <c r="A7227" t="str">
        <f>T("   820340")</f>
        <v xml:space="preserve">   820340</v>
      </c>
      <c r="B7227" t="str">
        <f>T("   Coupe-tubes, coupe-boulons, emporte-pièce et outils simil., à main, en métaux communs")</f>
        <v xml:space="preserve">   Coupe-tubes, coupe-boulons, emporte-pièce et outils simil., à main, en métaux communs</v>
      </c>
      <c r="C7227">
        <v>1422436</v>
      </c>
      <c r="D7227">
        <v>92</v>
      </c>
    </row>
    <row r="7228" spans="1:4" x14ac:dyDescent="0.25">
      <c r="A7228" t="str">
        <f>T("   820420")</f>
        <v xml:space="preserve">   820420</v>
      </c>
      <c r="B7228" t="str">
        <f>T("   Douilles de serrage interchangeables, même avec manches, en métaux communs")</f>
        <v xml:space="preserve">   Douilles de serrage interchangeables, même avec manches, en métaux communs</v>
      </c>
      <c r="C7228">
        <v>375865</v>
      </c>
      <c r="D7228">
        <v>2</v>
      </c>
    </row>
    <row r="7229" spans="1:4" x14ac:dyDescent="0.25">
      <c r="A7229" t="str">
        <f>T("   820530")</f>
        <v xml:space="preserve">   820530</v>
      </c>
      <c r="B7229" t="str">
        <f>T("   Rabots, ciseaux, gouges et outils tranchants simil. à main pour le travail du bois")</f>
        <v xml:space="preserve">   Rabots, ciseaux, gouges et outils tranchants simil. à main pour le travail du bois</v>
      </c>
      <c r="C7229">
        <v>5380135</v>
      </c>
      <c r="D7229">
        <v>8629</v>
      </c>
    </row>
    <row r="7230" spans="1:4" x14ac:dyDescent="0.25">
      <c r="A7230" t="str">
        <f>T("   820559")</f>
        <v xml:space="preserve">   820559</v>
      </c>
      <c r="B7230" t="str">
        <f>T("   Outils à main, y.c. -les diamants de vitrier-, en métaux communs, n.d.a.")</f>
        <v xml:space="preserve">   Outils à main, y.c. -les diamants de vitrier-, en métaux communs, n.d.a.</v>
      </c>
      <c r="C7230">
        <v>949856</v>
      </c>
      <c r="D7230">
        <v>311.08</v>
      </c>
    </row>
    <row r="7231" spans="1:4" x14ac:dyDescent="0.25">
      <c r="A7231" t="str">
        <f>T("   820600")</f>
        <v xml:space="preserve">   820600</v>
      </c>
      <c r="B7231" t="str">
        <f>T("   Outils d'au moins deux du n° 8202 à 8205, conditionnés en assortiments pour la vente au détail")</f>
        <v xml:space="preserve">   Outils d'au moins deux du n° 8202 à 8205, conditionnés en assortiments pour la vente au détail</v>
      </c>
      <c r="C7231">
        <v>990100</v>
      </c>
      <c r="D7231">
        <v>648.84</v>
      </c>
    </row>
    <row r="7232" spans="1:4" x14ac:dyDescent="0.25">
      <c r="A7232" t="str">
        <f>T("   820790")</f>
        <v xml:space="preserve">   820790</v>
      </c>
      <c r="B7232" t="str">
        <f>T("   Outils interchangeables pour outillage à main, mécanique ou non, ou pour machines-outils, n.d.a.")</f>
        <v xml:space="preserve">   Outils interchangeables pour outillage à main, mécanique ou non, ou pour machines-outils, n.d.a.</v>
      </c>
      <c r="C7232">
        <v>443429</v>
      </c>
      <c r="D7232">
        <v>75</v>
      </c>
    </row>
    <row r="7233" spans="1:4" x14ac:dyDescent="0.25">
      <c r="A7233" t="str">
        <f>T("   821000")</f>
        <v xml:space="preserve">   821000</v>
      </c>
      <c r="B7233" t="s">
        <v>378</v>
      </c>
      <c r="C7233">
        <v>56413</v>
      </c>
      <c r="D7233">
        <v>3</v>
      </c>
    </row>
    <row r="7234" spans="1:4" x14ac:dyDescent="0.25">
      <c r="A7234" t="str">
        <f>T("   821191")</f>
        <v xml:space="preserve">   821191</v>
      </c>
      <c r="B7234" t="str">
        <f>T("   Couteaux de table à lame fixe, en métaux communs, y.c. les manches (sauf couteaux à beurre et couteaux à poisson)")</f>
        <v xml:space="preserve">   Couteaux de table à lame fixe, en métaux communs, y.c. les manches (sauf couteaux à beurre et couteaux à poisson)</v>
      </c>
      <c r="C7234">
        <v>482131</v>
      </c>
      <c r="D7234">
        <v>668</v>
      </c>
    </row>
    <row r="7235" spans="1:4" x14ac:dyDescent="0.25">
      <c r="A7235" t="str">
        <f>T("   821420")</f>
        <v xml:space="preserve">   821420</v>
      </c>
      <c r="B7235" t="str">
        <f>T("   Outils et assortiments d'outils de manucure ou de pédicure, y.c. -les limes à ongles-, en métaux communs (sauf ciseaux ordinaires)")</f>
        <v xml:space="preserve">   Outils et assortiments d'outils de manucure ou de pédicure, y.c. -les limes à ongles-, en métaux communs (sauf ciseaux ordinaires)</v>
      </c>
      <c r="C7235">
        <v>569374</v>
      </c>
      <c r="D7235">
        <v>922</v>
      </c>
    </row>
    <row r="7236" spans="1:4" x14ac:dyDescent="0.25">
      <c r="A7236" t="str">
        <f>T("   821520")</f>
        <v xml:space="preserve">   821520</v>
      </c>
      <c r="B7236" t="str">
        <f>T("   ASSORTIMENTS COMPOSÉS D'UN OU PLUSIEURS COUTEAUX DU N° 8211 ET D'UN NOMBRE AU MOINS ÉGAL DE CUILLERS, FOURCHETTES OU AUTRES ARTICLES DU N° N° 8215, EN MÉTAUX COMMUNS, NE COMPRENANT AUCUNE PARTIE ARGENTÉE, DORÉE OU PLATINÉE")</f>
        <v xml:space="preserve">   ASSORTIMENTS COMPOSÉS D'UN OU PLUSIEURS COUTEAUX DU N° 8211 ET D'UN NOMBRE AU MOINS ÉGAL DE CUILLERS, FOURCHETTES OU AUTRES ARTICLES DU N° N° 8215, EN MÉTAUX COMMUNS, NE COMPRENANT AUCUNE PARTIE ARGENTÉE, DORÉE OU PLATINÉE</v>
      </c>
      <c r="C7236">
        <v>55126</v>
      </c>
      <c r="D7236">
        <v>75</v>
      </c>
    </row>
    <row r="7237" spans="1:4" x14ac:dyDescent="0.25">
      <c r="A7237" t="str">
        <f>T("   821599")</f>
        <v xml:space="preserve">   821599</v>
      </c>
      <c r="B7237" t="s">
        <v>380</v>
      </c>
      <c r="C7237">
        <v>2049219</v>
      </c>
      <c r="D7237">
        <v>2161</v>
      </c>
    </row>
    <row r="7238" spans="1:4" x14ac:dyDescent="0.25">
      <c r="A7238" t="str">
        <f>T("   830140")</f>
        <v xml:space="preserve">   830140</v>
      </c>
      <c r="B7238" t="str">
        <f>T("   Serrures et verrous, en métaux communs (autres que cadenas et serrures des types utilisés pour véhicules automobiles ou meubles)")</f>
        <v xml:space="preserve">   Serrures et verrous, en métaux communs (autres que cadenas et serrures des types utilisés pour véhicules automobiles ou meubles)</v>
      </c>
      <c r="C7238">
        <v>13397097</v>
      </c>
      <c r="D7238">
        <v>1198</v>
      </c>
    </row>
    <row r="7239" spans="1:4" x14ac:dyDescent="0.25">
      <c r="A7239" t="str">
        <f>T("   830220")</f>
        <v xml:space="preserve">   830220</v>
      </c>
      <c r="B7239" t="str">
        <f>T("   Roulettes avec monture en métaux communs")</f>
        <v xml:space="preserve">   Roulettes avec monture en métaux communs</v>
      </c>
      <c r="C7239">
        <v>11807</v>
      </c>
      <c r="D7239">
        <v>12</v>
      </c>
    </row>
    <row r="7240" spans="1:4" x14ac:dyDescent="0.25">
      <c r="A7240" t="str">
        <f>T("   830241")</f>
        <v xml:space="preserve">   830241</v>
      </c>
      <c r="B7240" t="str">
        <f>T("   Garnitures, ferrures et simil., pour bâtiments, en métaux communs (sauf serrures et verrous de sûreté à clef et sauf charnières)")</f>
        <v xml:space="preserve">   Garnitures, ferrures et simil., pour bâtiments, en métaux communs (sauf serrures et verrous de sûreté à clef et sauf charnières)</v>
      </c>
      <c r="C7240">
        <v>3953472</v>
      </c>
      <c r="D7240">
        <v>812</v>
      </c>
    </row>
    <row r="7241" spans="1:4" x14ac:dyDescent="0.25">
      <c r="A7241" t="str">
        <f>T("   830249")</f>
        <v xml:space="preserve">   830249</v>
      </c>
      <c r="B7241" t="s">
        <v>381</v>
      </c>
      <c r="C7241">
        <v>4083602</v>
      </c>
      <c r="D7241">
        <v>903</v>
      </c>
    </row>
    <row r="7242" spans="1:4" x14ac:dyDescent="0.25">
      <c r="A7242" t="str">
        <f>T("   830630")</f>
        <v xml:space="preserve">   830630</v>
      </c>
      <c r="B7242" t="str">
        <f>T("   Cadres pour photographies, gravures ou simil., en métaux communs; miroirs, en métaux communs (sauf éléments optiques)")</f>
        <v xml:space="preserve">   Cadres pour photographies, gravures ou simil., en métaux communs; miroirs, en métaux communs (sauf éléments optiques)</v>
      </c>
      <c r="C7242">
        <v>1125993</v>
      </c>
      <c r="D7242">
        <v>2580</v>
      </c>
    </row>
    <row r="7243" spans="1:4" x14ac:dyDescent="0.25">
      <c r="A7243" t="str">
        <f>T("   830910")</f>
        <v xml:space="preserve">   830910</v>
      </c>
      <c r="B7243" t="str">
        <f>T("   Bouchons-couronnes en métaux communs")</f>
        <v xml:space="preserve">   Bouchons-couronnes en métaux communs</v>
      </c>
      <c r="C7243">
        <v>637271043</v>
      </c>
      <c r="D7243">
        <v>268356</v>
      </c>
    </row>
    <row r="7244" spans="1:4" x14ac:dyDescent="0.25">
      <c r="A7244" t="str">
        <f>T("   830990")</f>
        <v xml:space="preserve">   830990</v>
      </c>
      <c r="B7244" t="str">
        <f>T("   Bouchons [y.c. les bouchons à pas de vis et les bouchons-verseurs], couvercles, capsules pour bouteilles, bondes filetées, plaques de bondes, scellés et autres accessoires d'emballage, en métaux communs (à l'excl. des bouchons-couronnes)")</f>
        <v xml:space="preserve">   Bouchons [y.c. les bouchons à pas de vis et les bouchons-verseurs], couvercles, capsules pour bouteilles, bondes filetées, plaques de bondes, scellés et autres accessoires d'emballage, en métaux communs (à l'excl. des bouchons-couronnes)</v>
      </c>
      <c r="C7244">
        <v>1349966</v>
      </c>
      <c r="D7244">
        <v>891</v>
      </c>
    </row>
    <row r="7245" spans="1:4" x14ac:dyDescent="0.25">
      <c r="A7245" t="str">
        <f>T("   840790")</f>
        <v xml:space="preserve">   840790</v>
      </c>
      <c r="B7245" t="s">
        <v>391</v>
      </c>
      <c r="C7245">
        <v>2200000</v>
      </c>
      <c r="D7245">
        <v>4650</v>
      </c>
    </row>
    <row r="7246" spans="1:4" x14ac:dyDescent="0.25">
      <c r="A7246" t="str">
        <f>T("   840890")</f>
        <v xml:space="preserve">   840890</v>
      </c>
      <c r="B7246" t="s">
        <v>393</v>
      </c>
      <c r="C7246">
        <v>1080339</v>
      </c>
      <c r="D7246">
        <v>8450</v>
      </c>
    </row>
    <row r="7247" spans="1:4" x14ac:dyDescent="0.25">
      <c r="A7247" t="str">
        <f>T("   840999")</f>
        <v xml:space="preserve">   840999</v>
      </c>
      <c r="B7247"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7247">
        <v>1508708</v>
      </c>
      <c r="D7247">
        <v>253</v>
      </c>
    </row>
    <row r="7248" spans="1:4" x14ac:dyDescent="0.25">
      <c r="A7248" t="str">
        <f>T("   841311")</f>
        <v xml:space="preserve">   841311</v>
      </c>
      <c r="B7248" t="str">
        <f>T("   Pompes pour distribution, comportant un dispositif mesureur de liquide ou conçues pour en comporter pour carburants ou lubrifiants, des types utilisés dans les stations-service ou les garages")</f>
        <v xml:space="preserve">   Pompes pour distribution, comportant un dispositif mesureur de liquide ou conçues pour en comporter pour carburants ou lubrifiants, des types utilisés dans les stations-service ou les garages</v>
      </c>
      <c r="C7248">
        <v>108055494</v>
      </c>
      <c r="D7248">
        <v>7085</v>
      </c>
    </row>
    <row r="7249" spans="1:4" x14ac:dyDescent="0.25">
      <c r="A7249" t="str">
        <f>T("   841330")</f>
        <v xml:space="preserve">   841330</v>
      </c>
      <c r="B7249" t="str">
        <f>T("   Pompes à carburant, à huile ou à liquide de refroidissement pour moteurs à allumage par étincelles ou par compression")</f>
        <v xml:space="preserve">   Pompes à carburant, à huile ou à liquide de refroidissement pour moteurs à allumage par étincelles ou par compression</v>
      </c>
      <c r="C7249">
        <v>3889843</v>
      </c>
      <c r="D7249">
        <v>104</v>
      </c>
    </row>
    <row r="7250" spans="1:4" x14ac:dyDescent="0.25">
      <c r="A7250" t="str">
        <f>T("   841350")</f>
        <v xml:space="preserve">   841350</v>
      </c>
      <c r="B7250" t="s">
        <v>394</v>
      </c>
      <c r="C7250">
        <v>593721</v>
      </c>
      <c r="D7250">
        <v>34</v>
      </c>
    </row>
    <row r="7251" spans="1:4" x14ac:dyDescent="0.25">
      <c r="A7251" t="str">
        <f>T("   841381")</f>
        <v xml:space="preserve">   841381</v>
      </c>
      <c r="B7251" t="s">
        <v>397</v>
      </c>
      <c r="C7251">
        <v>35817537</v>
      </c>
      <c r="D7251">
        <v>10435</v>
      </c>
    </row>
    <row r="7252" spans="1:4" x14ac:dyDescent="0.25">
      <c r="A7252" t="str">
        <f>T("   841391")</f>
        <v xml:space="preserve">   841391</v>
      </c>
      <c r="B7252" t="str">
        <f>T("   Parties de pompes pour liquides, n.d.a.")</f>
        <v xml:space="preserve">   Parties de pompes pour liquides, n.d.a.</v>
      </c>
      <c r="C7252">
        <v>82633783</v>
      </c>
      <c r="D7252">
        <v>5917</v>
      </c>
    </row>
    <row r="7253" spans="1:4" x14ac:dyDescent="0.25">
      <c r="A7253" t="str">
        <f>T("   841430")</f>
        <v xml:space="preserve">   841430</v>
      </c>
      <c r="B7253" t="str">
        <f>T("   Compresseurs des types utilisés pour équipements frigorifiques")</f>
        <v xml:space="preserve">   Compresseurs des types utilisés pour équipements frigorifiques</v>
      </c>
      <c r="C7253">
        <v>2825876</v>
      </c>
      <c r="D7253">
        <v>300</v>
      </c>
    </row>
    <row r="7254" spans="1:4" x14ac:dyDescent="0.25">
      <c r="A7254" t="str">
        <f>T("   841440")</f>
        <v xml:space="preserve">   841440</v>
      </c>
      <c r="B7254" t="str">
        <f>T("   Compresseurs d'air montés sur châssis à roues et remorquables")</f>
        <v xml:space="preserve">   Compresseurs d'air montés sur châssis à roues et remorquables</v>
      </c>
      <c r="C7254">
        <v>853306</v>
      </c>
      <c r="D7254">
        <v>295.98</v>
      </c>
    </row>
    <row r="7255" spans="1:4" x14ac:dyDescent="0.25">
      <c r="A7255" t="str">
        <f>T("   841460")</f>
        <v xml:space="preserve">   841460</v>
      </c>
      <c r="B7255" t="str">
        <f>T("   Hottes aspirantes à extraction ou à recyclage par filtre, à ventilateur incorporé, plus grand côté horizontal &lt;= 120 cm")</f>
        <v xml:space="preserve">   Hottes aspirantes à extraction ou à recyclage par filtre, à ventilateur incorporé, plus grand côté horizontal &lt;= 120 cm</v>
      </c>
      <c r="C7255">
        <v>360000</v>
      </c>
      <c r="D7255">
        <v>200</v>
      </c>
    </row>
    <row r="7256" spans="1:4" x14ac:dyDescent="0.25">
      <c r="A7256" t="str">
        <f>T("   841480")</f>
        <v xml:space="preserve">   841480</v>
      </c>
      <c r="B7256" t="s">
        <v>398</v>
      </c>
      <c r="C7256">
        <v>1292661</v>
      </c>
      <c r="D7256">
        <v>169.68</v>
      </c>
    </row>
    <row r="7257" spans="1:4" x14ac:dyDescent="0.25">
      <c r="A7257" t="str">
        <f>T("   841490")</f>
        <v xml:space="preserve">   841490</v>
      </c>
      <c r="B7257" t="str">
        <f>T("   Parties de pompes à air ou à vide, de compresseurs d'air ou d'autres gaz et de ventilateurs, de hottes aspirantes à extraction ou à recyclage, à ventilateur incorporé, n.d.a.")</f>
        <v xml:space="preserve">   Parties de pompes à air ou à vide, de compresseurs d'air ou d'autres gaz et de ventilateurs, de hottes aspirantes à extraction ou à recyclage, à ventilateur incorporé, n.d.a.</v>
      </c>
      <c r="C7257">
        <v>3247002</v>
      </c>
      <c r="D7257">
        <v>27</v>
      </c>
    </row>
    <row r="7258" spans="1:4" x14ac:dyDescent="0.25">
      <c r="A7258" t="str">
        <f>T("   841510")</f>
        <v xml:space="preserve">   841510</v>
      </c>
      <c r="B7258" t="s">
        <v>399</v>
      </c>
      <c r="C7258">
        <v>4123696</v>
      </c>
      <c r="D7258">
        <v>1945</v>
      </c>
    </row>
    <row r="7259" spans="1:4" x14ac:dyDescent="0.25">
      <c r="A7259" t="str">
        <f>T("   841582")</f>
        <v xml:space="preserve">   841582</v>
      </c>
      <c r="B7259" t="s">
        <v>401</v>
      </c>
      <c r="C7259">
        <v>19291283</v>
      </c>
      <c r="D7259">
        <v>6761</v>
      </c>
    </row>
    <row r="7260" spans="1:4" x14ac:dyDescent="0.25">
      <c r="A7260" t="str">
        <f>T("   841583")</f>
        <v xml:space="preserve">   841583</v>
      </c>
      <c r="B7260" t="s">
        <v>402</v>
      </c>
      <c r="C7260">
        <v>9782988</v>
      </c>
      <c r="D7260">
        <v>1706</v>
      </c>
    </row>
    <row r="7261" spans="1:4" x14ac:dyDescent="0.25">
      <c r="A7261" t="str">
        <f>T("   841590")</f>
        <v xml:space="preserve">   841590</v>
      </c>
      <c r="B7261" t="str">
        <f>T("   Parties de machines et appareils pour le conditionnement de l'air comprenant un ventilateur à moteur et des dispositifs propres à modifier la température et l'humidité de l'air, n.d.a.")</f>
        <v xml:space="preserve">   Parties de machines et appareils pour le conditionnement de l'air comprenant un ventilateur à moteur et des dispositifs propres à modifier la température et l'humidité de l'air, n.d.a.</v>
      </c>
      <c r="C7261">
        <v>682854</v>
      </c>
      <c r="D7261">
        <v>928</v>
      </c>
    </row>
    <row r="7262" spans="1:4" x14ac:dyDescent="0.25">
      <c r="A7262" t="str">
        <f>T("   841720")</f>
        <v xml:space="preserve">   841720</v>
      </c>
      <c r="B7262" t="str">
        <f>T("   Fours non-électriques, de boulangerie, de pâtisserie ou de biscuiterie")</f>
        <v xml:space="preserve">   Fours non-électriques, de boulangerie, de pâtisserie ou de biscuiterie</v>
      </c>
      <c r="C7262">
        <v>2413933</v>
      </c>
      <c r="D7262">
        <v>8500</v>
      </c>
    </row>
    <row r="7263" spans="1:4" x14ac:dyDescent="0.25">
      <c r="A7263" t="str">
        <f>T("   841780")</f>
        <v xml:space="preserve">   841780</v>
      </c>
      <c r="B7263" t="s">
        <v>403</v>
      </c>
      <c r="C7263">
        <v>45157029</v>
      </c>
      <c r="D7263">
        <v>13800</v>
      </c>
    </row>
    <row r="7264" spans="1:4" x14ac:dyDescent="0.25">
      <c r="A7264" t="str">
        <f>T("   841790")</f>
        <v xml:space="preserve">   841790</v>
      </c>
      <c r="B7264" t="str">
        <f>T("   Parties de fours industriels ou de laboratoire non-électriques, y.c. d'incinérateurs, n.d.a.")</f>
        <v xml:space="preserve">   Parties de fours industriels ou de laboratoire non-électriques, y.c. d'incinérateurs, n.d.a.</v>
      </c>
      <c r="C7264">
        <v>5990709</v>
      </c>
      <c r="D7264">
        <v>9676</v>
      </c>
    </row>
    <row r="7265" spans="1:4" x14ac:dyDescent="0.25">
      <c r="A7265" t="str">
        <f>T("   841810")</f>
        <v xml:space="preserve">   841810</v>
      </c>
      <c r="B7265" t="str">
        <f>T("   Réfrigérateurs et congélateurs-conservateurs combinés, avec portes extérieures séparées")</f>
        <v xml:space="preserve">   Réfrigérateurs et congélateurs-conservateurs combinés, avec portes extérieures séparées</v>
      </c>
      <c r="C7265">
        <v>3223190</v>
      </c>
      <c r="D7265">
        <v>9428</v>
      </c>
    </row>
    <row r="7266" spans="1:4" x14ac:dyDescent="0.25">
      <c r="A7266" t="str">
        <f>T("   841821")</f>
        <v xml:space="preserve">   841821</v>
      </c>
      <c r="B7266" t="str">
        <f>T("   Réfrigérateurs ménagers à compression")</f>
        <v xml:space="preserve">   Réfrigérateurs ménagers à compression</v>
      </c>
      <c r="C7266">
        <v>459828</v>
      </c>
      <c r="D7266">
        <v>1245</v>
      </c>
    </row>
    <row r="7267" spans="1:4" x14ac:dyDescent="0.25">
      <c r="A7267" t="str">
        <f>T("   841822")</f>
        <v xml:space="preserve">   841822</v>
      </c>
      <c r="B7267" t="str">
        <f>T("   Réfrigérateurs ménagers à absorption, électriques")</f>
        <v xml:space="preserve">   Réfrigérateurs ménagers à absorption, électriques</v>
      </c>
      <c r="C7267">
        <v>215811</v>
      </c>
      <c r="D7267">
        <v>2458</v>
      </c>
    </row>
    <row r="7268" spans="1:4" x14ac:dyDescent="0.25">
      <c r="A7268" t="str">
        <f>T("   841829")</f>
        <v xml:space="preserve">   841829</v>
      </c>
      <c r="B7268" t="str">
        <f>T("   Réfrigérateurs ménagers à absorption, non-électriques")</f>
        <v xml:space="preserve">   Réfrigérateurs ménagers à absorption, non-électriques</v>
      </c>
      <c r="C7268">
        <v>20377679</v>
      </c>
      <c r="D7268">
        <v>40542</v>
      </c>
    </row>
    <row r="7269" spans="1:4" x14ac:dyDescent="0.25">
      <c r="A7269" t="str">
        <f>T("   841830")</f>
        <v xml:space="preserve">   841830</v>
      </c>
      <c r="B7269" t="str">
        <f>T("   Meubles congélateurs-conservateurs du type coffre, capacité &lt;= 800 l")</f>
        <v xml:space="preserve">   Meubles congélateurs-conservateurs du type coffre, capacité &lt;= 800 l</v>
      </c>
      <c r="C7269">
        <v>31874854</v>
      </c>
      <c r="D7269">
        <v>11089</v>
      </c>
    </row>
    <row r="7270" spans="1:4" x14ac:dyDescent="0.25">
      <c r="A7270" t="str">
        <f>T("   841850")</f>
        <v xml:space="preserve">   841850</v>
      </c>
      <c r="B7270" t="s">
        <v>404</v>
      </c>
      <c r="C7270">
        <v>11514066</v>
      </c>
      <c r="D7270">
        <v>6618</v>
      </c>
    </row>
    <row r="7271" spans="1:4" x14ac:dyDescent="0.25">
      <c r="A7271" t="str">
        <f>T("   841899")</f>
        <v xml:space="preserve">   841899</v>
      </c>
      <c r="B7271" t="str">
        <f>T("   Parties de réfrigérateurs et de congélateurs-conservateurs du type armoire et du type coffre et d'autres matériel, machines et appareils pour la production du froid, parties de pompes à chaleur, n.d.a.")</f>
        <v xml:space="preserve">   Parties de réfrigérateurs et de congélateurs-conservateurs du type armoire et du type coffre et d'autres matériel, machines et appareils pour la production du froid, parties de pompes à chaleur, n.d.a.</v>
      </c>
      <c r="C7271">
        <v>11101221</v>
      </c>
      <c r="D7271">
        <v>6442</v>
      </c>
    </row>
    <row r="7272" spans="1:4" x14ac:dyDescent="0.25">
      <c r="A7272" t="str">
        <f>T("   841920")</f>
        <v xml:space="preserve">   841920</v>
      </c>
      <c r="B7272" t="str">
        <f>T("   Stérilisateurs médico-chirurgicaux ou de laboratoire")</f>
        <v xml:space="preserve">   Stérilisateurs médico-chirurgicaux ou de laboratoire</v>
      </c>
      <c r="C7272">
        <v>2822596</v>
      </c>
      <c r="D7272">
        <v>864</v>
      </c>
    </row>
    <row r="7273" spans="1:4" x14ac:dyDescent="0.25">
      <c r="A7273" t="str">
        <f>T("   841981")</f>
        <v xml:space="preserve">   841981</v>
      </c>
      <c r="B7273" t="str">
        <f>T("   Appareils et dispositifs pour la préparation de boissons chaudes ou la cuisson ou le chauffage des aliments (sauf appareils domestiques)")</f>
        <v xml:space="preserve">   Appareils et dispositifs pour la préparation de boissons chaudes ou la cuisson ou le chauffage des aliments (sauf appareils domestiques)</v>
      </c>
      <c r="C7273">
        <v>650287258</v>
      </c>
      <c r="D7273">
        <v>57931</v>
      </c>
    </row>
    <row r="7274" spans="1:4" x14ac:dyDescent="0.25">
      <c r="A7274" t="str">
        <f>T("   842121")</f>
        <v xml:space="preserve">   842121</v>
      </c>
      <c r="B7274" t="str">
        <f>T("   Appareils pour la filtration ou l'épuration des eaux")</f>
        <v xml:space="preserve">   Appareils pour la filtration ou l'épuration des eaux</v>
      </c>
      <c r="C7274">
        <v>102985</v>
      </c>
      <c r="D7274">
        <v>50</v>
      </c>
    </row>
    <row r="7275" spans="1:4" x14ac:dyDescent="0.25">
      <c r="A7275" t="str">
        <f>T("   842123")</f>
        <v xml:space="preserve">   842123</v>
      </c>
      <c r="B7275" t="str">
        <f>T("   Appareils pour la filtration des huiles minérales et carburants pour les moteurs à allumage par étincelles ou par compression")</f>
        <v xml:space="preserve">   Appareils pour la filtration des huiles minérales et carburants pour les moteurs à allumage par étincelles ou par compression</v>
      </c>
      <c r="C7275">
        <v>122665</v>
      </c>
      <c r="D7275">
        <v>1</v>
      </c>
    </row>
    <row r="7276" spans="1:4" x14ac:dyDescent="0.25">
      <c r="A7276" t="str">
        <f>T("   842129")</f>
        <v xml:space="preserve">   842129</v>
      </c>
      <c r="B7276" t="str">
        <f>T("   Appareils pour la filtration ou l'épuration des liquides (à l'excl. de l'eau ou des boissons, des huiles minérales et carburants pour les moteurs à allumage par étincelles ou par compression ainsi que les reins artificiels)")</f>
        <v xml:space="preserve">   Appareils pour la filtration ou l'épuration des liquides (à l'excl. de l'eau ou des boissons, des huiles minérales et carburants pour les moteurs à allumage par étincelles ou par compression ainsi que les reins artificiels)</v>
      </c>
      <c r="C7276">
        <v>417144</v>
      </c>
      <c r="D7276">
        <v>698</v>
      </c>
    </row>
    <row r="7277" spans="1:4" x14ac:dyDescent="0.25">
      <c r="A7277" t="str">
        <f>T("   842131")</f>
        <v xml:space="preserve">   842131</v>
      </c>
      <c r="B7277" t="str">
        <f>T("   Filtres d'entrée d'air pour moteurs à allumage par étincelles ou par compression")</f>
        <v xml:space="preserve">   Filtres d'entrée d'air pour moteurs à allumage par étincelles ou par compression</v>
      </c>
      <c r="C7277">
        <v>522800</v>
      </c>
      <c r="D7277">
        <v>2</v>
      </c>
    </row>
    <row r="7278" spans="1:4" x14ac:dyDescent="0.25">
      <c r="A7278" t="str">
        <f>T("   842139")</f>
        <v xml:space="preserve">   842139</v>
      </c>
      <c r="B7278" t="str">
        <f>T("   Appareils pour la filtration ou l'épuration des gaz (autres que pour la séparation isotopique et sauf les filtres d'entrée d'air pour moteurs à allumage par étincelles ou par compression)")</f>
        <v xml:space="preserve">   Appareils pour la filtration ou l'épuration des gaz (autres que pour la séparation isotopique et sauf les filtres d'entrée d'air pour moteurs à allumage par étincelles ou par compression)</v>
      </c>
      <c r="C7278">
        <v>1150554</v>
      </c>
      <c r="D7278">
        <v>9</v>
      </c>
    </row>
    <row r="7279" spans="1:4" x14ac:dyDescent="0.25">
      <c r="A7279" t="str">
        <f>T("   842211")</f>
        <v xml:space="preserve">   842211</v>
      </c>
      <c r="B7279" t="str">
        <f>T("   Machines à laver la vaisselle, de type ménager")</f>
        <v xml:space="preserve">   Machines à laver la vaisselle, de type ménager</v>
      </c>
      <c r="C7279">
        <v>926464</v>
      </c>
      <c r="D7279">
        <v>642</v>
      </c>
    </row>
    <row r="7280" spans="1:4" x14ac:dyDescent="0.25">
      <c r="A7280" t="str">
        <f>T("   842240")</f>
        <v xml:space="preserve">   842240</v>
      </c>
      <c r="B7280" t="s">
        <v>406</v>
      </c>
      <c r="C7280">
        <v>613391476</v>
      </c>
      <c r="D7280">
        <v>44296</v>
      </c>
    </row>
    <row r="7281" spans="1:4" x14ac:dyDescent="0.25">
      <c r="A7281" t="str">
        <f>T("   842290")</f>
        <v xml:space="preserve">   842290</v>
      </c>
      <c r="B7281" t="str">
        <f>T("   Parties des machines à laver la vaisselle, des machines à empaqueter ou à emballer les marchandises et autres machines et appareils du n° 8422, n.d.a.")</f>
        <v xml:space="preserve">   Parties des machines à laver la vaisselle, des machines à empaqueter ou à emballer les marchandises et autres machines et appareils du n° 8422, n.d.a.</v>
      </c>
      <c r="C7281">
        <v>34069251</v>
      </c>
      <c r="D7281">
        <v>276</v>
      </c>
    </row>
    <row r="7282" spans="1:4" x14ac:dyDescent="0.25">
      <c r="A7282" t="str">
        <f>T("   842310")</f>
        <v xml:space="preserve">   842310</v>
      </c>
      <c r="B7282" t="str">
        <f>T("   Pèse-personnes, y.c. les pèse-bébés; balances de ménage")</f>
        <v xml:space="preserve">   Pèse-personnes, y.c. les pèse-bébés; balances de ménage</v>
      </c>
      <c r="C7282">
        <v>2449545</v>
      </c>
      <c r="D7282">
        <v>701</v>
      </c>
    </row>
    <row r="7283" spans="1:4" x14ac:dyDescent="0.25">
      <c r="A7283" t="str">
        <f>T("   842410")</f>
        <v xml:space="preserve">   842410</v>
      </c>
      <c r="B7283" t="str">
        <f>T("   Extincteurs mécaniques, même chargés (sauf bombes et grenades d'extinction d'incendie)")</f>
        <v xml:space="preserve">   Extincteurs mécaniques, même chargés (sauf bombes et grenades d'extinction d'incendie)</v>
      </c>
      <c r="C7283">
        <v>1246028</v>
      </c>
      <c r="D7283">
        <v>320</v>
      </c>
    </row>
    <row r="7284" spans="1:4" x14ac:dyDescent="0.25">
      <c r="A7284" t="str">
        <f>T("   842430")</f>
        <v xml:space="preserve">   842430</v>
      </c>
      <c r="B7284" t="s">
        <v>409</v>
      </c>
      <c r="C7284">
        <v>1710744</v>
      </c>
      <c r="D7284">
        <v>649</v>
      </c>
    </row>
    <row r="7285" spans="1:4" x14ac:dyDescent="0.25">
      <c r="A7285" t="str">
        <f>T("   842481")</f>
        <v xml:space="preserve">   842481</v>
      </c>
      <c r="B7285" t="str">
        <f>T("   Machines et appareils mécaniques, même à main, à projeter, disperser ou pulvériser des matières liquides ou en poudre, pour l'agriculture ou l'horticulture")</f>
        <v xml:space="preserve">   Machines et appareils mécaniques, même à main, à projeter, disperser ou pulvériser des matières liquides ou en poudre, pour l'agriculture ou l'horticulture</v>
      </c>
      <c r="C7285">
        <v>179733</v>
      </c>
      <c r="D7285">
        <v>205</v>
      </c>
    </row>
    <row r="7286" spans="1:4" x14ac:dyDescent="0.25">
      <c r="A7286" t="str">
        <f>T("   842490")</f>
        <v xml:space="preserve">   842490</v>
      </c>
      <c r="B7286" t="s">
        <v>410</v>
      </c>
      <c r="C7286">
        <v>714996</v>
      </c>
      <c r="D7286">
        <v>197.5</v>
      </c>
    </row>
    <row r="7287" spans="1:4" x14ac:dyDescent="0.25">
      <c r="A7287" t="str">
        <f>T("   842630")</f>
        <v xml:space="preserve">   842630</v>
      </c>
      <c r="B7287" t="str">
        <f>T("   Grues sur portiques")</f>
        <v xml:space="preserve">   Grues sur portiques</v>
      </c>
      <c r="C7287">
        <v>784883034</v>
      </c>
      <c r="D7287">
        <v>301688</v>
      </c>
    </row>
    <row r="7288" spans="1:4" x14ac:dyDescent="0.25">
      <c r="A7288" t="str">
        <f>T("   842720")</f>
        <v xml:space="preserve">   842720</v>
      </c>
      <c r="B7288" t="str">
        <f>T("   Chariots de manutention autopropulsés, autres qu'à moteur électrique, avec dispositif de levage")</f>
        <v xml:space="preserve">   Chariots de manutention autopropulsés, autres qu'à moteur électrique, avec dispositif de levage</v>
      </c>
      <c r="C7288">
        <v>11163934</v>
      </c>
      <c r="D7288">
        <v>9340</v>
      </c>
    </row>
    <row r="7289" spans="1:4" x14ac:dyDescent="0.25">
      <c r="A7289" t="str">
        <f>T("   842790")</f>
        <v xml:space="preserve">   842790</v>
      </c>
      <c r="B7289" t="str">
        <f>T("   Chariots de manutention munis d'un dispositif de levage mais non autopropulsés")</f>
        <v xml:space="preserve">   Chariots de manutention munis d'un dispositif de levage mais non autopropulsés</v>
      </c>
      <c r="C7289">
        <v>2225017</v>
      </c>
      <c r="D7289">
        <v>189</v>
      </c>
    </row>
    <row r="7290" spans="1:4" x14ac:dyDescent="0.25">
      <c r="A7290" t="str">
        <f>T("   842833")</f>
        <v xml:space="preserve">   842833</v>
      </c>
      <c r="B7290" t="str">
        <f>T("   Appareils élévateurs, transporteurs ou convoyeurs pour marchandises, à action continue, à bande ou à courroie (autres que conçus pour mines au fond et autres travaux souterrains)")</f>
        <v xml:space="preserve">   Appareils élévateurs, transporteurs ou convoyeurs pour marchandises, à action continue, à bande ou à courroie (autres que conçus pour mines au fond et autres travaux souterrains)</v>
      </c>
      <c r="C7290">
        <v>190436340</v>
      </c>
      <c r="D7290">
        <v>12870</v>
      </c>
    </row>
    <row r="7291" spans="1:4" x14ac:dyDescent="0.25">
      <c r="A7291" t="str">
        <f>T("   842839")</f>
        <v xml:space="preserve">   842839</v>
      </c>
      <c r="B7291" t="str">
        <f>T("   Appareils élévateurs, transporteurs ou convoyeurs pour marchandises, à action continue (autres que conçus pour mines au fond ou pour autres travaux souterrains, autres qu'à benne, à bande ou à courroie et autres que pneumatiques)")</f>
        <v xml:space="preserve">   Appareils élévateurs, transporteurs ou convoyeurs pour marchandises, à action continue (autres que conçus pour mines au fond ou pour autres travaux souterrains, autres qu'à benne, à bande ou à courroie et autres que pneumatiques)</v>
      </c>
      <c r="C7291">
        <v>2599072</v>
      </c>
      <c r="D7291">
        <v>6200</v>
      </c>
    </row>
    <row r="7292" spans="1:4" x14ac:dyDescent="0.25">
      <c r="A7292" t="str">
        <f>T("   842911")</f>
        <v xml:space="preserve">   842911</v>
      </c>
      <c r="B7292" t="str">
        <f>T("   Bouteurs 'bulldozers' et bouteurs biais 'angledozers', à chenilles")</f>
        <v xml:space="preserve">   Bouteurs 'bulldozers' et bouteurs biais 'angledozers', à chenilles</v>
      </c>
      <c r="C7292">
        <v>6218501</v>
      </c>
      <c r="D7292">
        <v>50000</v>
      </c>
    </row>
    <row r="7293" spans="1:4" x14ac:dyDescent="0.25">
      <c r="A7293" t="str">
        <f>T("   842940")</f>
        <v xml:space="preserve">   842940</v>
      </c>
      <c r="B7293" t="str">
        <f>T("   Rouleaux compresseurs et autres compacteuses, autopropulsés")</f>
        <v xml:space="preserve">   Rouleaux compresseurs et autres compacteuses, autopropulsés</v>
      </c>
      <c r="C7293">
        <v>1920815</v>
      </c>
      <c r="D7293">
        <v>18000</v>
      </c>
    </row>
    <row r="7294" spans="1:4" x14ac:dyDescent="0.25">
      <c r="A7294" t="str">
        <f>T("   842951")</f>
        <v xml:space="preserve">   842951</v>
      </c>
      <c r="B7294" t="str">
        <f>T("   Chargeuses et chargeuses-pelleteuses, à chargement frontal, autopropulsées")</f>
        <v xml:space="preserve">   Chargeuses et chargeuses-pelleteuses, à chargement frontal, autopropulsées</v>
      </c>
      <c r="C7294">
        <v>27975088</v>
      </c>
      <c r="D7294">
        <v>11959</v>
      </c>
    </row>
    <row r="7295" spans="1:4" x14ac:dyDescent="0.25">
      <c r="A7295" t="str">
        <f>T("   842959")</f>
        <v xml:space="preserve">   842959</v>
      </c>
      <c r="B7295"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7295">
        <v>18713018</v>
      </c>
      <c r="D7295">
        <v>61000</v>
      </c>
    </row>
    <row r="7296" spans="1:4" x14ac:dyDescent="0.25">
      <c r="A7296" t="str">
        <f>T("   843139")</f>
        <v xml:space="preserve">   843139</v>
      </c>
      <c r="B7296" t="str">
        <f>T("   Parties de machines et appareils du n° 8428, n.d.a.")</f>
        <v xml:space="preserve">   Parties de machines et appareils du n° 8428, n.d.a.</v>
      </c>
      <c r="C7296">
        <v>1669938</v>
      </c>
      <c r="D7296">
        <v>158</v>
      </c>
    </row>
    <row r="7297" spans="1:4" x14ac:dyDescent="0.25">
      <c r="A7297" t="str">
        <f>T("   843141")</f>
        <v xml:space="preserve">   843141</v>
      </c>
      <c r="B7297" t="str">
        <f>T("   Godets, bennes, bennes-preneuses, pelles, grappins et pinces pour machines et appareils du n° 8426, 8429 ou 8430")</f>
        <v xml:space="preserve">   Godets, bennes, bennes-preneuses, pelles, grappins et pinces pour machines et appareils du n° 8426, 8429 ou 8430</v>
      </c>
      <c r="C7297">
        <v>72076</v>
      </c>
      <c r="D7297">
        <v>5979</v>
      </c>
    </row>
    <row r="7298" spans="1:4" x14ac:dyDescent="0.25">
      <c r="A7298" t="str">
        <f>T("   843149")</f>
        <v xml:space="preserve">   843149</v>
      </c>
      <c r="B7298" t="str">
        <f>T("   Parties de machines et appareils du n° 8426, 8429 ou 8430, n.d.a.")</f>
        <v xml:space="preserve">   Parties de machines et appareils du n° 8426, 8429 ou 8430, n.d.a.</v>
      </c>
      <c r="C7298">
        <v>103995341</v>
      </c>
      <c r="D7298">
        <v>49651</v>
      </c>
    </row>
    <row r="7299" spans="1:4" x14ac:dyDescent="0.25">
      <c r="A7299" t="str">
        <f>T("   843229")</f>
        <v xml:space="preserve">   843229</v>
      </c>
      <c r="B7299" t="str">
        <f>T("   Herses, scarificateurs, cultivateurs, extirpateurs, houes, sarcleuses et bineuses pour l'agriculture, la sylviculture ou l'horticulture (à l'excl. des herses à disques)")</f>
        <v xml:space="preserve">   Herses, scarificateurs, cultivateurs, extirpateurs, houes, sarcleuses et bineuses pour l'agriculture, la sylviculture ou l'horticulture (à l'excl. des herses à disques)</v>
      </c>
      <c r="C7299">
        <v>1536914</v>
      </c>
      <c r="D7299">
        <v>1020</v>
      </c>
    </row>
    <row r="7300" spans="1:4" x14ac:dyDescent="0.25">
      <c r="A7300" t="str">
        <f>T("   843810")</f>
        <v xml:space="preserve">   843810</v>
      </c>
      <c r="B7300" t="s">
        <v>419</v>
      </c>
      <c r="C7300">
        <v>4792339</v>
      </c>
      <c r="D7300">
        <v>1680</v>
      </c>
    </row>
    <row r="7301" spans="1:4" x14ac:dyDescent="0.25">
      <c r="A7301" t="str">
        <f>T("   843890")</f>
        <v xml:space="preserve">   843890</v>
      </c>
      <c r="B7301" t="str">
        <f>T("   Parties des machines et appareils pour le traitement, la préparation ou la fabrication industriels d'aliments ou de boissons, n.d.a.")</f>
        <v xml:space="preserve">   Parties des machines et appareils pour le traitement, la préparation ou la fabrication industriels d'aliments ou de boissons, n.d.a.</v>
      </c>
      <c r="C7301">
        <v>90919</v>
      </c>
      <c r="D7301">
        <v>2177</v>
      </c>
    </row>
    <row r="7302" spans="1:4" x14ac:dyDescent="0.25">
      <c r="A7302" t="str">
        <f>T("   844319")</f>
        <v xml:space="preserve">   844319</v>
      </c>
      <c r="B7302" t="s">
        <v>423</v>
      </c>
      <c r="C7302">
        <v>2240000</v>
      </c>
      <c r="D7302">
        <v>10110</v>
      </c>
    </row>
    <row r="7303" spans="1:4" x14ac:dyDescent="0.25">
      <c r="A7303" t="str">
        <f>T("   844359")</f>
        <v xml:space="preserve">   844359</v>
      </c>
      <c r="B7303" t="s">
        <v>424</v>
      </c>
      <c r="C7303">
        <v>17918361</v>
      </c>
      <c r="D7303">
        <v>5000</v>
      </c>
    </row>
    <row r="7304" spans="1:4" x14ac:dyDescent="0.25">
      <c r="A7304" t="str">
        <f>T("   844859")</f>
        <v xml:space="preserve">   844859</v>
      </c>
      <c r="B7304" t="str">
        <f>T("   Parties et accessoires des métiers, machines et appareils du n° 8447, n.d.a.")</f>
        <v xml:space="preserve">   Parties et accessoires des métiers, machines et appareils du n° 8447, n.d.a.</v>
      </c>
      <c r="C7304">
        <v>8007960</v>
      </c>
      <c r="D7304">
        <v>62</v>
      </c>
    </row>
    <row r="7305" spans="1:4" x14ac:dyDescent="0.25">
      <c r="A7305" t="str">
        <f>T("   845011")</f>
        <v xml:space="preserve">   845011</v>
      </c>
      <c r="B7305" t="str">
        <f>T("   Machines à laver le linge entièrement automatiques, d'une capacité unitaire exprimée en poids de linge sec &lt;= 6 kg")</f>
        <v xml:space="preserve">   Machines à laver le linge entièrement automatiques, d'une capacité unitaire exprimée en poids de linge sec &lt;= 6 kg</v>
      </c>
      <c r="C7305">
        <v>1008657</v>
      </c>
      <c r="D7305">
        <v>549</v>
      </c>
    </row>
    <row r="7306" spans="1:4" x14ac:dyDescent="0.25">
      <c r="A7306" t="str">
        <f>T("   845019")</f>
        <v xml:space="preserve">   845019</v>
      </c>
      <c r="B7306" t="str">
        <f>T("   Machines à laver le linge d'une capacité unitaire exprimée en poids de linge sec &lt;= 6 kg (à l'excl. des machines entièrement automatiques et des machines à laver le linge avec essoreuse centrifuge incorporée)")</f>
        <v xml:space="preserve">   Machines à laver le linge d'une capacité unitaire exprimée en poids de linge sec &lt;= 6 kg (à l'excl. des machines entièrement automatiques et des machines à laver le linge avec essoreuse centrifuge incorporée)</v>
      </c>
      <c r="C7306">
        <v>390297</v>
      </c>
      <c r="D7306">
        <v>655</v>
      </c>
    </row>
    <row r="7307" spans="1:4" x14ac:dyDescent="0.25">
      <c r="A7307" t="str">
        <f>T("   845121")</f>
        <v xml:space="preserve">   845121</v>
      </c>
      <c r="B7307" t="str">
        <f>T("   Machines à sécher, capacité unitaire en poids de linge sec &lt;= 10 kg (à l'excl. des essoreuses centrifuges)")</f>
        <v xml:space="preserve">   Machines à sécher, capacité unitaire en poids de linge sec &lt;= 10 kg (à l'excl. des essoreuses centrifuges)</v>
      </c>
      <c r="C7307">
        <v>2229608</v>
      </c>
      <c r="D7307">
        <v>800</v>
      </c>
    </row>
    <row r="7308" spans="1:4" x14ac:dyDescent="0.25">
      <c r="A7308" t="str">
        <f>T("   845180")</f>
        <v xml:space="preserve">   845180</v>
      </c>
      <c r="B7308" t="s">
        <v>426</v>
      </c>
      <c r="C7308">
        <v>90647</v>
      </c>
      <c r="D7308">
        <v>395</v>
      </c>
    </row>
    <row r="7309" spans="1:4" x14ac:dyDescent="0.25">
      <c r="A7309" t="str">
        <f>T("   845210")</f>
        <v xml:space="preserve">   845210</v>
      </c>
      <c r="B7309" t="str">
        <f>T("   Machines à coudre de type ménager")</f>
        <v xml:space="preserve">   Machines à coudre de type ménager</v>
      </c>
      <c r="C7309">
        <v>1197488</v>
      </c>
      <c r="D7309">
        <v>7748</v>
      </c>
    </row>
    <row r="7310" spans="1:4" x14ac:dyDescent="0.25">
      <c r="A7310" t="str">
        <f>T("   845229")</f>
        <v xml:space="preserve">   845229</v>
      </c>
      <c r="B7310" t="str">
        <f>T("   Machines à coudre de type industriel (sauf unités automatiques)")</f>
        <v xml:space="preserve">   Machines à coudre de type industriel (sauf unités automatiques)</v>
      </c>
      <c r="C7310">
        <v>561279</v>
      </c>
      <c r="D7310">
        <v>239</v>
      </c>
    </row>
    <row r="7311" spans="1:4" x14ac:dyDescent="0.25">
      <c r="A7311" t="str">
        <f>T("   845940")</f>
        <v xml:space="preserve">   845940</v>
      </c>
      <c r="B7311" t="str">
        <f>T("   Machines à aléser les métaux par enlèvement de matières (sauf unités d'usinage à glissières et aléseuses-fraiseuses combinées)")</f>
        <v xml:space="preserve">   Machines à aléser les métaux par enlèvement de matières (sauf unités d'usinage à glissières et aléseuses-fraiseuses combinées)</v>
      </c>
      <c r="C7311">
        <v>7417596</v>
      </c>
      <c r="D7311">
        <v>170</v>
      </c>
    </row>
    <row r="7312" spans="1:4" x14ac:dyDescent="0.25">
      <c r="A7312" t="str">
        <f>T("   846120")</f>
        <v xml:space="preserve">   846120</v>
      </c>
      <c r="B7312" t="str">
        <f>T("   Etaux-limeurs et machines à mortaiser, pour le travail des métaux")</f>
        <v xml:space="preserve">   Etaux-limeurs et machines à mortaiser, pour le travail des métaux</v>
      </c>
      <c r="C7312">
        <v>264352</v>
      </c>
      <c r="D7312">
        <v>555</v>
      </c>
    </row>
    <row r="7313" spans="1:4" x14ac:dyDescent="0.25">
      <c r="A7313" t="str">
        <f>T("   846190")</f>
        <v xml:space="preserve">   846190</v>
      </c>
      <c r="B7313" t="str">
        <f>T("   Machines à raboter et autres machines-outils travaillant par enlèvement de métal, n.d.a.")</f>
        <v xml:space="preserve">   Machines à raboter et autres machines-outils travaillant par enlèvement de métal, n.d.a.</v>
      </c>
      <c r="C7313">
        <v>750000</v>
      </c>
      <c r="D7313">
        <v>6250</v>
      </c>
    </row>
    <row r="7314" spans="1:4" x14ac:dyDescent="0.25">
      <c r="A7314" t="str">
        <f>T("   846221")</f>
        <v xml:space="preserve">   846221</v>
      </c>
      <c r="B7314" t="str">
        <f>T("   Machines, y.c. -les presses-, à rouler, cintrer, plier, dresser ou planer, à commande numérique, pour le travail des métaux")</f>
        <v xml:space="preserve">   Machines, y.c. -les presses-, à rouler, cintrer, plier, dresser ou planer, à commande numérique, pour le travail des métaux</v>
      </c>
      <c r="C7314">
        <v>169560412</v>
      </c>
      <c r="D7314">
        <v>30345</v>
      </c>
    </row>
    <row r="7315" spans="1:4" x14ac:dyDescent="0.25">
      <c r="A7315" t="str">
        <f>T("   846591")</f>
        <v xml:space="preserve">   846591</v>
      </c>
      <c r="B7315" t="str">
        <f>T("   Machines à scier, pour le travail du bois, des matières plastiques dures, etc. (autres que pour emploi à la main)")</f>
        <v xml:space="preserve">   Machines à scier, pour le travail du bois, des matières plastiques dures, etc. (autres que pour emploi à la main)</v>
      </c>
      <c r="C7315">
        <v>5193174</v>
      </c>
      <c r="D7315">
        <v>23210</v>
      </c>
    </row>
    <row r="7316" spans="1:4" x14ac:dyDescent="0.25">
      <c r="A7316" t="str">
        <f>T("   846592")</f>
        <v xml:space="preserve">   846592</v>
      </c>
      <c r="B7316" t="s">
        <v>432</v>
      </c>
      <c r="C7316">
        <v>6662585</v>
      </c>
      <c r="D7316">
        <v>17902</v>
      </c>
    </row>
    <row r="7317" spans="1:4" x14ac:dyDescent="0.25">
      <c r="A7317" t="str">
        <f>T("   846599")</f>
        <v xml:space="preserve">   846599</v>
      </c>
      <c r="B7317" t="s">
        <v>434</v>
      </c>
      <c r="C7317">
        <v>800000</v>
      </c>
      <c r="D7317">
        <v>800</v>
      </c>
    </row>
    <row r="7318" spans="1:4" x14ac:dyDescent="0.25">
      <c r="A7318" t="str">
        <f>T("   846694")</f>
        <v xml:space="preserve">   846694</v>
      </c>
      <c r="B7318" t="str">
        <f>T("   Parties et accessoires pour machines-outils pour le travail du métal avec enlèvement de matière, n.d.a.")</f>
        <v xml:space="preserve">   Parties et accessoires pour machines-outils pour le travail du métal avec enlèvement de matière, n.d.a.</v>
      </c>
      <c r="C7318">
        <v>407351</v>
      </c>
      <c r="D7318">
        <v>355</v>
      </c>
    </row>
    <row r="7319" spans="1:4" x14ac:dyDescent="0.25">
      <c r="A7319" t="str">
        <f>T("   846729")</f>
        <v xml:space="preserve">   846729</v>
      </c>
      <c r="B7319" t="str">
        <f>T("   Outils électromécaniques à moteur électrique incorporé, pour emploi à la main (autres que scies et perceuses)")</f>
        <v xml:space="preserve">   Outils électromécaniques à moteur électrique incorporé, pour emploi à la main (autres que scies et perceuses)</v>
      </c>
      <c r="C7319">
        <v>149559</v>
      </c>
      <c r="D7319">
        <v>57</v>
      </c>
    </row>
    <row r="7320" spans="1:4" x14ac:dyDescent="0.25">
      <c r="A7320" t="str">
        <f>T("   846789")</f>
        <v xml:space="preserve">   846789</v>
      </c>
      <c r="B7320" t="str">
        <f>T("   Outils pour emploi à la main, hydrauliques ou à moteur non électrique incorporé (sauf tronçonneuses à chaîne et outils pneumatiques)")</f>
        <v xml:space="preserve">   Outils pour emploi à la main, hydrauliques ou à moteur non électrique incorporé (sauf tronçonneuses à chaîne et outils pneumatiques)</v>
      </c>
      <c r="C7320">
        <v>393600</v>
      </c>
      <c r="D7320">
        <v>50</v>
      </c>
    </row>
    <row r="7321" spans="1:4" x14ac:dyDescent="0.25">
      <c r="A7321" t="str">
        <f>T("   846880")</f>
        <v xml:space="preserve">   846880</v>
      </c>
      <c r="B7321" t="str">
        <f>T("   Machines et appareils pour le brasage ou le soudage (autres qu'aux gaz et à l'excl. des machines ou appareils pour le brasage ou le soudage électriques du n° 8515)")</f>
        <v xml:space="preserve">   Machines et appareils pour le brasage ou le soudage (autres qu'aux gaz et à l'excl. des machines ou appareils pour le brasage ou le soudage électriques du n° 8515)</v>
      </c>
      <c r="C7321">
        <v>1510000</v>
      </c>
      <c r="D7321">
        <v>1500</v>
      </c>
    </row>
    <row r="7322" spans="1:4" x14ac:dyDescent="0.25">
      <c r="A7322" t="str">
        <f>T("   847110")</f>
        <v xml:space="preserve">   847110</v>
      </c>
      <c r="B7322" t="str">
        <f>T("   Machines automatiques de traitement de l'information, analogiques ou hybrides")</f>
        <v xml:space="preserve">   Machines automatiques de traitement de l'information, analogiques ou hybrides</v>
      </c>
      <c r="C7322">
        <v>1250000</v>
      </c>
      <c r="D7322">
        <v>500</v>
      </c>
    </row>
    <row r="7323" spans="1:4" x14ac:dyDescent="0.25">
      <c r="A7323" t="str">
        <f>T("   847141")</f>
        <v xml:space="preserve">   847141</v>
      </c>
      <c r="B7323" t="s">
        <v>436</v>
      </c>
      <c r="C7323">
        <v>750000</v>
      </c>
      <c r="D7323">
        <v>4500</v>
      </c>
    </row>
    <row r="7324" spans="1:4" x14ac:dyDescent="0.25">
      <c r="A7324" t="str">
        <f>T("   847149")</f>
        <v xml:space="preserve">   847149</v>
      </c>
      <c r="B7324" t="s">
        <v>437</v>
      </c>
      <c r="C7324">
        <v>793712</v>
      </c>
      <c r="D7324">
        <v>3400</v>
      </c>
    </row>
    <row r="7325" spans="1:4" x14ac:dyDescent="0.25">
      <c r="A7325" t="str">
        <f>T("   847160")</f>
        <v xml:space="preserve">   847160</v>
      </c>
      <c r="B7325" t="str">
        <f>T("   UNITÉS D'ENTRÉE OU DE SORTIE POUR MACHINES AUTOMATIQUES DE TRAITEMENT DE L'INFORMATION, POUVANT COMPORTER, SOUS LA MÊME ENVELOPPE, DES UNITÉS DE MÉMOIRE")</f>
        <v xml:space="preserve">   UNITÉS D'ENTRÉE OU DE SORTIE POUR MACHINES AUTOMATIQUES DE TRAITEMENT DE L'INFORMATION, POUVANT COMPORTER, SOUS LA MÊME ENVELOPPE, DES UNITÉS DE MÉMOIRE</v>
      </c>
      <c r="C7325">
        <v>11817</v>
      </c>
      <c r="D7325">
        <v>18</v>
      </c>
    </row>
    <row r="7326" spans="1:4" x14ac:dyDescent="0.25">
      <c r="A7326" t="str">
        <f>T("   847180")</f>
        <v xml:space="preserve">   847180</v>
      </c>
      <c r="B7326"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7326">
        <v>1995259</v>
      </c>
      <c r="D7326">
        <v>10349</v>
      </c>
    </row>
    <row r="7327" spans="1:4" x14ac:dyDescent="0.25">
      <c r="A7327" t="str">
        <f>T("   847190")</f>
        <v xml:space="preserve">   847190</v>
      </c>
      <c r="B7327"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7327">
        <v>20563</v>
      </c>
      <c r="D7327">
        <v>35</v>
      </c>
    </row>
    <row r="7328" spans="1:4" x14ac:dyDescent="0.25">
      <c r="A7328" t="str">
        <f>T("   847290")</f>
        <v xml:space="preserve">   847290</v>
      </c>
      <c r="B7328" t="str">
        <f>T("   Machines et appareils de bureau, n.d.a.")</f>
        <v xml:space="preserve">   Machines et appareils de bureau, n.d.a.</v>
      </c>
      <c r="C7328">
        <v>297511</v>
      </c>
      <c r="D7328">
        <v>280</v>
      </c>
    </row>
    <row r="7329" spans="1:4" x14ac:dyDescent="0.25">
      <c r="A7329" t="str">
        <f>T("   847431")</f>
        <v xml:space="preserve">   847431</v>
      </c>
      <c r="B7329" t="str">
        <f>T("   Bétonnières et appareils à gâcher le ciment (sauf montés sur wagons de chemins de fer ou sur châssis de véhicules automobiles)")</f>
        <v xml:space="preserve">   Bétonnières et appareils à gâcher le ciment (sauf montés sur wagons de chemins de fer ou sur châssis de véhicules automobiles)</v>
      </c>
      <c r="C7329">
        <v>575000</v>
      </c>
      <c r="D7329">
        <v>1000</v>
      </c>
    </row>
    <row r="7330" spans="1:4" x14ac:dyDescent="0.25">
      <c r="A7330" t="str">
        <f>T("   847439")</f>
        <v xml:space="preserve">   847439</v>
      </c>
      <c r="B7330" t="str">
        <f>T("   Machines et appareils à mélanger ou à malaxer les matières minérales solides, y.c. -les poudres et les pâtes- (sauf bétonnières et appareils à gâcher le ciment, machines à mélanger les matières minérales au bitume et sauf calandres)")</f>
        <v xml:space="preserve">   Machines et appareils à mélanger ou à malaxer les matières minérales solides, y.c. -les poudres et les pâtes- (sauf bétonnières et appareils à gâcher le ciment, machines à mélanger les matières minérales au bitume et sauf calandres)</v>
      </c>
      <c r="C7330">
        <v>8330692</v>
      </c>
      <c r="D7330">
        <v>1805</v>
      </c>
    </row>
    <row r="7331" spans="1:4" x14ac:dyDescent="0.25">
      <c r="A7331" t="str">
        <f>T("   847490")</f>
        <v xml:space="preserve">   847490</v>
      </c>
      <c r="B7331" t="str">
        <f>T("   Parties des machines et appareils pour le travail des matières minérales du n° 8474, n.d.a.")</f>
        <v xml:space="preserve">   Parties des machines et appareils pour le travail des matières minérales du n° 8474, n.d.a.</v>
      </c>
      <c r="C7331">
        <v>1581520</v>
      </c>
      <c r="D7331">
        <v>300</v>
      </c>
    </row>
    <row r="7332" spans="1:4" x14ac:dyDescent="0.25">
      <c r="A7332" t="str">
        <f>T("   847982")</f>
        <v xml:space="preserve">   847982</v>
      </c>
      <c r="B7332" t="str">
        <f>T("   Machines et appareils à mélanger, malaxer, concasser, broyer, cribler, tamiser, homogénéiser, émulsionner ou brasser, n.d.a. (à l'excl. des robots industriels)")</f>
        <v xml:space="preserve">   Machines et appareils à mélanger, malaxer, concasser, broyer, cribler, tamiser, homogénéiser, émulsionner ou brasser, n.d.a. (à l'excl. des robots industriels)</v>
      </c>
      <c r="C7332">
        <v>26406509</v>
      </c>
      <c r="D7332">
        <v>15044</v>
      </c>
    </row>
    <row r="7333" spans="1:4" x14ac:dyDescent="0.25">
      <c r="A7333" t="str">
        <f>T("   847989")</f>
        <v xml:space="preserve">   847989</v>
      </c>
      <c r="B7333" t="str">
        <f>T("   Machines et appareils, y.c. les appareils mécaniques, n.d.a.")</f>
        <v xml:space="preserve">   Machines et appareils, y.c. les appareils mécaniques, n.d.a.</v>
      </c>
      <c r="C7333">
        <v>390193759</v>
      </c>
      <c r="D7333">
        <v>25786</v>
      </c>
    </row>
    <row r="7334" spans="1:4" x14ac:dyDescent="0.25">
      <c r="A7334" t="str">
        <f>T("   847990")</f>
        <v xml:space="preserve">   847990</v>
      </c>
      <c r="B7334" t="str">
        <f>T("   Parties de machines et appareils, y.c. les appareils mécaniques, n.d.a.")</f>
        <v xml:space="preserve">   Parties de machines et appareils, y.c. les appareils mécaniques, n.d.a.</v>
      </c>
      <c r="C7334">
        <v>2798326</v>
      </c>
      <c r="D7334">
        <v>190.5</v>
      </c>
    </row>
    <row r="7335" spans="1:4" x14ac:dyDescent="0.25">
      <c r="A7335" t="str">
        <f>T("   848110")</f>
        <v xml:space="preserve">   848110</v>
      </c>
      <c r="B7335" t="str">
        <f>T("   Détendeurs")</f>
        <v xml:space="preserve">   Détendeurs</v>
      </c>
      <c r="C7335">
        <v>1191879</v>
      </c>
      <c r="D7335">
        <v>12</v>
      </c>
    </row>
    <row r="7336" spans="1:4" x14ac:dyDescent="0.25">
      <c r="A7336" t="str">
        <f>T("   848180")</f>
        <v xml:space="preserve">   848180</v>
      </c>
      <c r="B7336"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7336">
        <v>15189200</v>
      </c>
      <c r="D7336">
        <v>5588</v>
      </c>
    </row>
    <row r="7337" spans="1:4" x14ac:dyDescent="0.25">
      <c r="A7337" t="str">
        <f>T("   848330")</f>
        <v xml:space="preserve">   848330</v>
      </c>
      <c r="B7337" t="str">
        <f>T("   Paliers pour machines, sans roulements incorporés; coussinets et coquilles de coussinets pour machines")</f>
        <v xml:space="preserve">   Paliers pour machines, sans roulements incorporés; coussinets et coquilles de coussinets pour machines</v>
      </c>
      <c r="C7337">
        <v>343067</v>
      </c>
      <c r="D7337">
        <v>2</v>
      </c>
    </row>
    <row r="7338" spans="1:4" x14ac:dyDescent="0.25">
      <c r="A7338" t="str">
        <f>T("   848490")</f>
        <v xml:space="preserve">   848490</v>
      </c>
      <c r="B7338" t="str">
        <f>T("   Jeux ou assortiments de joints de composition différente présentés en pochettes, enveloppes ou emballages analogues")</f>
        <v xml:space="preserve">   Jeux ou assortiments de joints de composition différente présentés en pochettes, enveloppes ou emballages analogues</v>
      </c>
      <c r="C7338">
        <v>194164</v>
      </c>
      <c r="D7338">
        <v>5</v>
      </c>
    </row>
    <row r="7339" spans="1:4" x14ac:dyDescent="0.25">
      <c r="A7339" t="str">
        <f>T("   850110")</f>
        <v xml:space="preserve">   850110</v>
      </c>
      <c r="B7339" t="str">
        <f>T("   Moteurs d'une puissance &lt;= 37,5 W")</f>
        <v xml:space="preserve">   Moteurs d'une puissance &lt;= 37,5 W</v>
      </c>
      <c r="C7339">
        <v>468750</v>
      </c>
      <c r="D7339">
        <v>7580</v>
      </c>
    </row>
    <row r="7340" spans="1:4" x14ac:dyDescent="0.25">
      <c r="A7340" t="str">
        <f>T("   850211")</f>
        <v xml:space="preserve">   850211</v>
      </c>
      <c r="B7340" t="s">
        <v>449</v>
      </c>
      <c r="C7340">
        <v>29732700</v>
      </c>
      <c r="D7340">
        <v>4384</v>
      </c>
    </row>
    <row r="7341" spans="1:4" x14ac:dyDescent="0.25">
      <c r="A7341" t="str">
        <f>T("   850213")</f>
        <v xml:space="preserve">   850213</v>
      </c>
      <c r="B7341" t="s">
        <v>450</v>
      </c>
      <c r="C7341">
        <v>55000000</v>
      </c>
      <c r="D7341">
        <v>57600</v>
      </c>
    </row>
    <row r="7342" spans="1:4" x14ac:dyDescent="0.25">
      <c r="A7342" t="str">
        <f>T("   850220")</f>
        <v xml:space="preserve">   850220</v>
      </c>
      <c r="B7342" t="s">
        <v>451</v>
      </c>
      <c r="C7342">
        <v>500000</v>
      </c>
      <c r="D7342">
        <v>3770</v>
      </c>
    </row>
    <row r="7343" spans="1:4" x14ac:dyDescent="0.25">
      <c r="A7343" t="str">
        <f>T("   850239")</f>
        <v xml:space="preserve">   850239</v>
      </c>
      <c r="B7343" t="str">
        <f>T("   Groupes électrogènes (autres qu'à énergie éolienne et à moteurs à piston)")</f>
        <v xml:space="preserve">   Groupes électrogènes (autres qu'à énergie éolienne et à moteurs à piston)</v>
      </c>
      <c r="C7343">
        <v>10632023</v>
      </c>
      <c r="D7343">
        <v>6509</v>
      </c>
    </row>
    <row r="7344" spans="1:4" x14ac:dyDescent="0.25">
      <c r="A7344" t="str">
        <f>T("   850300")</f>
        <v xml:space="preserve">   850300</v>
      </c>
      <c r="B7344" t="str">
        <f>T("   Parties reconnaissables comme étant exclusivement ou principalement destinées aux moteurs et machines génératrices électriques, groupes électrogènes ou convertisseurs rotatifs électriques n.d.a.")</f>
        <v xml:space="preserve">   Parties reconnaissables comme étant exclusivement ou principalement destinées aux moteurs et machines génératrices électriques, groupes électrogènes ou convertisseurs rotatifs électriques n.d.a.</v>
      </c>
      <c r="C7344">
        <v>114861</v>
      </c>
      <c r="D7344">
        <v>905</v>
      </c>
    </row>
    <row r="7345" spans="1:4" x14ac:dyDescent="0.25">
      <c r="A7345" t="str">
        <f>T("   850432")</f>
        <v xml:space="preserve">   850432</v>
      </c>
      <c r="B7345" t="str">
        <f>T("   Transformateurs à sec, puissance &gt; 1 kVA mais &lt;= 16 kVA")</f>
        <v xml:space="preserve">   Transformateurs à sec, puissance &gt; 1 kVA mais &lt;= 16 kVA</v>
      </c>
      <c r="C7345">
        <v>39515030</v>
      </c>
      <c r="D7345">
        <v>6550</v>
      </c>
    </row>
    <row r="7346" spans="1:4" x14ac:dyDescent="0.25">
      <c r="A7346" t="str">
        <f>T("   850433")</f>
        <v xml:space="preserve">   850433</v>
      </c>
      <c r="B7346" t="str">
        <f>T("   Transformateurs à sec, puissance &gt; 16 kVA mais &lt;= 500 kVA")</f>
        <v xml:space="preserve">   Transformateurs à sec, puissance &gt; 16 kVA mais &lt;= 500 kVA</v>
      </c>
      <c r="C7346">
        <v>10942069</v>
      </c>
      <c r="D7346">
        <v>1400</v>
      </c>
    </row>
    <row r="7347" spans="1:4" x14ac:dyDescent="0.25">
      <c r="A7347" t="str">
        <f>T("   850440")</f>
        <v xml:space="preserve">   850440</v>
      </c>
      <c r="B7347" t="str">
        <f>T("   CONVERTISSEURS STATIQUES")</f>
        <v xml:space="preserve">   CONVERTISSEURS STATIQUES</v>
      </c>
      <c r="C7347">
        <v>17886934</v>
      </c>
      <c r="D7347">
        <v>2796.48</v>
      </c>
    </row>
    <row r="7348" spans="1:4" x14ac:dyDescent="0.25">
      <c r="A7348" t="str">
        <f>T("   850490")</f>
        <v xml:space="preserve">   850490</v>
      </c>
      <c r="B7348" t="str">
        <f>T("   Parties de transformateurs, de bobines de réactance et selfs n.d.a.")</f>
        <v xml:space="preserve">   Parties de transformateurs, de bobines de réactance et selfs n.d.a.</v>
      </c>
      <c r="C7348">
        <v>403659</v>
      </c>
      <c r="D7348">
        <v>5</v>
      </c>
    </row>
    <row r="7349" spans="1:4" x14ac:dyDescent="0.25">
      <c r="A7349" t="str">
        <f>T("   850680")</f>
        <v xml:space="preserve">   850680</v>
      </c>
      <c r="B7349" t="str">
        <f>T("   Piles et batteries de piles électriques (sauf hors d'usage et autres que piles et batteries à l'oxyde d'argent, de mercure, au bioxyde de manganèse, au lithium et à l'air-zinc)")</f>
        <v xml:space="preserve">   Piles et batteries de piles électriques (sauf hors d'usage et autres que piles et batteries à l'oxyde d'argent, de mercure, au bioxyde de manganèse, au lithium et à l'air-zinc)</v>
      </c>
      <c r="C7349">
        <v>62317</v>
      </c>
      <c r="D7349">
        <v>63</v>
      </c>
    </row>
    <row r="7350" spans="1:4" x14ac:dyDescent="0.25">
      <c r="A7350" t="str">
        <f>T("   850710")</f>
        <v xml:space="preserve">   850710</v>
      </c>
      <c r="B7350" t="str">
        <f>T("   Accumulateurs au plomb, pour le démarrage des moteurs à piston (sauf hors d'usage)")</f>
        <v xml:space="preserve">   Accumulateurs au plomb, pour le démarrage des moteurs à piston (sauf hors d'usage)</v>
      </c>
      <c r="C7350">
        <v>1000000</v>
      </c>
      <c r="D7350">
        <v>4660</v>
      </c>
    </row>
    <row r="7351" spans="1:4" x14ac:dyDescent="0.25">
      <c r="A7351" t="str">
        <f>T("   850780")</f>
        <v xml:space="preserve">   850780</v>
      </c>
      <c r="B7351" t="str">
        <f>T("   Accumulateurs électriques (sauf hors d'usage et autres qu'au plomb, au nickel-cadmium ou au nickel-fer)")</f>
        <v xml:space="preserve">   Accumulateurs électriques (sauf hors d'usage et autres qu'au plomb, au nickel-cadmium ou au nickel-fer)</v>
      </c>
      <c r="C7351">
        <v>8869414</v>
      </c>
      <c r="D7351">
        <v>13500</v>
      </c>
    </row>
    <row r="7352" spans="1:4" x14ac:dyDescent="0.25">
      <c r="A7352" t="str">
        <f>T("   850910")</f>
        <v xml:space="preserve">   850910</v>
      </c>
      <c r="B7352" t="str">
        <f>T("   Aspirateurs de poussières, y.c. les aspirateurs de matières sèches et de matières liquides, à moteur électrique incorporé, à usage domestique")</f>
        <v xml:space="preserve">   Aspirateurs de poussières, y.c. les aspirateurs de matières sèches et de matières liquides, à moteur électrique incorporé, à usage domestique</v>
      </c>
      <c r="C7352">
        <v>87769</v>
      </c>
      <c r="D7352">
        <v>15</v>
      </c>
    </row>
    <row r="7353" spans="1:4" x14ac:dyDescent="0.25">
      <c r="A7353" t="str">
        <f>T("   850940")</f>
        <v xml:space="preserve">   850940</v>
      </c>
      <c r="B7353" t="str">
        <f>T("   Broyeurs et mélangeurs pour aliments; presse-fruits et presse-légumes à moteur électrique incorporé, à usage domestique")</f>
        <v xml:space="preserve">   Broyeurs et mélangeurs pour aliments; presse-fruits et presse-légumes à moteur électrique incorporé, à usage domestique</v>
      </c>
      <c r="C7353">
        <v>358574</v>
      </c>
      <c r="D7353">
        <v>547</v>
      </c>
    </row>
    <row r="7354" spans="1:4" x14ac:dyDescent="0.25">
      <c r="A7354" t="str">
        <f>T("   850980")</f>
        <v xml:space="preserve">   850980</v>
      </c>
      <c r="B7354" t="s">
        <v>452</v>
      </c>
      <c r="C7354">
        <v>474259</v>
      </c>
      <c r="D7354">
        <v>540</v>
      </c>
    </row>
    <row r="7355" spans="1:4" x14ac:dyDescent="0.25">
      <c r="A7355" t="str">
        <f>T("   851150")</f>
        <v xml:space="preserve">   851150</v>
      </c>
      <c r="B7355" t="str">
        <f>T("   Génératrices pour moteurs à allumage par étincelles ou par compression (autres que dynamos-magnétos et démarreurs fonctionnant comme génératrices)")</f>
        <v xml:space="preserve">   Génératrices pour moteurs à allumage par étincelles ou par compression (autres que dynamos-magnétos et démarreurs fonctionnant comme génératrices)</v>
      </c>
      <c r="C7355">
        <v>2594978</v>
      </c>
      <c r="D7355">
        <v>3526</v>
      </c>
    </row>
    <row r="7356" spans="1:4" x14ac:dyDescent="0.25">
      <c r="A7356" t="str">
        <f>T("   851190")</f>
        <v xml:space="preserve">   851190</v>
      </c>
      <c r="B7356" t="str">
        <f>T("   Parties des appareils et dispositifs électriques d'allumage et de démarrage, génératrices etc. du n° 8511, n.d.a.")</f>
        <v xml:space="preserve">   Parties des appareils et dispositifs électriques d'allumage et de démarrage, génératrices etc. du n° 8511, n.d.a.</v>
      </c>
      <c r="C7356">
        <v>370617</v>
      </c>
      <c r="D7356">
        <v>504</v>
      </c>
    </row>
    <row r="7357" spans="1:4" x14ac:dyDescent="0.25">
      <c r="A7357" t="str">
        <f>T("   851430")</f>
        <v xml:space="preserve">   851430</v>
      </c>
      <c r="B7357" t="str">
        <f>T("   Fours électriques industriels ou de laboratoires (autres que les fours à résistance, à chauffage indirect, les fours fonctionnant par induction ou par perte diélectrique et les étuves)")</f>
        <v xml:space="preserve">   Fours électriques industriels ou de laboratoires (autres que les fours à résistance, à chauffage indirect, les fours fonctionnant par induction ou par perte diélectrique et les étuves)</v>
      </c>
      <c r="C7357">
        <v>3280000</v>
      </c>
      <c r="D7357">
        <v>350</v>
      </c>
    </row>
    <row r="7358" spans="1:4" x14ac:dyDescent="0.25">
      <c r="A7358" t="str">
        <f>T("   851490")</f>
        <v xml:space="preserve">   851490</v>
      </c>
      <c r="B7358" t="s">
        <v>454</v>
      </c>
      <c r="C7358">
        <v>598363</v>
      </c>
      <c r="D7358">
        <v>165</v>
      </c>
    </row>
    <row r="7359" spans="1:4" x14ac:dyDescent="0.25">
      <c r="A7359" t="str">
        <f>T("   851539")</f>
        <v xml:space="preserve">   851539</v>
      </c>
      <c r="B7359" t="str">
        <f>T("   MACHINES ET APPAREILS POUR LE SOUDAGE DES MÉTAUX À L'ARC OU AU JET DE PLASMA, NON-AUTOMATIQUES")</f>
        <v xml:space="preserve">   MACHINES ET APPAREILS POUR LE SOUDAGE DES MÉTAUX À L'ARC OU AU JET DE PLASMA, NON-AUTOMATIQUES</v>
      </c>
      <c r="C7359">
        <v>284687</v>
      </c>
      <c r="D7359">
        <v>800</v>
      </c>
    </row>
    <row r="7360" spans="1:4" x14ac:dyDescent="0.25">
      <c r="A7360" t="str">
        <f>T("   851610")</f>
        <v xml:space="preserve">   851610</v>
      </c>
      <c r="B7360" t="str">
        <f>T("   Chauffe-eau et thermoplongeurs électriques")</f>
        <v xml:space="preserve">   Chauffe-eau et thermoplongeurs électriques</v>
      </c>
      <c r="C7360">
        <v>1804815</v>
      </c>
      <c r="D7360">
        <v>769</v>
      </c>
    </row>
    <row r="7361" spans="1:4" x14ac:dyDescent="0.25">
      <c r="A7361" t="str">
        <f>T("   851629")</f>
        <v xml:space="preserve">   851629</v>
      </c>
      <c r="B7361" t="str">
        <f>T("   Appareils électriques pour le chauffage des locaux, du sol ou pour usages simil. (sauf radiateurs à accumulation)")</f>
        <v xml:space="preserve">   Appareils électriques pour le chauffage des locaux, du sol ou pour usages simil. (sauf radiateurs à accumulation)</v>
      </c>
      <c r="C7361">
        <v>100000</v>
      </c>
      <c r="D7361">
        <v>250</v>
      </c>
    </row>
    <row r="7362" spans="1:4" x14ac:dyDescent="0.25">
      <c r="A7362" t="str">
        <f>T("   851640")</f>
        <v xml:space="preserve">   851640</v>
      </c>
      <c r="B7362" t="str">
        <f>T("   Fers à repasser électriques")</f>
        <v xml:space="preserve">   Fers à repasser électriques</v>
      </c>
      <c r="C7362">
        <v>1901308</v>
      </c>
      <c r="D7362">
        <v>3670</v>
      </c>
    </row>
    <row r="7363" spans="1:4" x14ac:dyDescent="0.25">
      <c r="A7363" t="str">
        <f>T("   851650")</f>
        <v xml:space="preserve">   851650</v>
      </c>
      <c r="B7363" t="str">
        <f>T("   Fours à micro-ondes")</f>
        <v xml:space="preserve">   Fours à micro-ondes</v>
      </c>
      <c r="C7363">
        <v>1728455</v>
      </c>
      <c r="D7363">
        <v>850</v>
      </c>
    </row>
    <row r="7364" spans="1:4" x14ac:dyDescent="0.25">
      <c r="A7364" t="str">
        <f>T("   851660")</f>
        <v xml:space="preserve">   851660</v>
      </c>
      <c r="B7364" t="str">
        <f>T("   Fours, cuisinières, réchauds, tables de cuisson, grils et rôtissoires électriques, pour usages domestiques (sauf fours destinés au chauffage des locaux et fours à micro-ondes)")</f>
        <v xml:space="preserve">   Fours, cuisinières, réchauds, tables de cuisson, grils et rôtissoires électriques, pour usages domestiques (sauf fours destinés au chauffage des locaux et fours à micro-ondes)</v>
      </c>
      <c r="C7364">
        <v>38297039</v>
      </c>
      <c r="D7364">
        <v>14756</v>
      </c>
    </row>
    <row r="7365" spans="1:4" x14ac:dyDescent="0.25">
      <c r="A7365" t="str">
        <f>T("   851671")</f>
        <v xml:space="preserve">   851671</v>
      </c>
      <c r="B7365" t="str">
        <f>T("   Appareils électriques pour la préparation du café ou du thé, pour usages domestiques")</f>
        <v xml:space="preserve">   Appareils électriques pour la préparation du café ou du thé, pour usages domestiques</v>
      </c>
      <c r="C7365">
        <v>118878</v>
      </c>
      <c r="D7365">
        <v>65</v>
      </c>
    </row>
    <row r="7366" spans="1:4" x14ac:dyDescent="0.25">
      <c r="A7366" t="str">
        <f>T("   851679")</f>
        <v xml:space="preserve">   851679</v>
      </c>
      <c r="B7366" t="s">
        <v>456</v>
      </c>
      <c r="C7366">
        <v>9323714</v>
      </c>
      <c r="D7366">
        <v>9546</v>
      </c>
    </row>
    <row r="7367" spans="1:4" x14ac:dyDescent="0.25">
      <c r="A7367" t="str">
        <f>T("   851690")</f>
        <v xml:space="preserve">   851690</v>
      </c>
      <c r="B7367" t="str">
        <f>T("   Parties des chauffe-eau, appareils de chauffage des locaux, appareils électriques pour la coiffure ou pour sécher les mains, appareils électrothermiques pour usages domestiques et résistances chauffantes, n.d.a.")</f>
        <v xml:space="preserve">   Parties des chauffe-eau, appareils de chauffage des locaux, appareils électriques pour la coiffure ou pour sécher les mains, appareils électrothermiques pour usages domestiques et résistances chauffantes, n.d.a.</v>
      </c>
      <c r="C7367">
        <v>349148</v>
      </c>
      <c r="D7367">
        <v>48</v>
      </c>
    </row>
    <row r="7368" spans="1:4" x14ac:dyDescent="0.25">
      <c r="A7368" t="str">
        <f>T("   851750")</f>
        <v xml:space="preserve">   851750</v>
      </c>
      <c r="B7368" t="s">
        <v>457</v>
      </c>
      <c r="C7368">
        <v>660440</v>
      </c>
      <c r="D7368">
        <v>223</v>
      </c>
    </row>
    <row r="7369" spans="1:4" x14ac:dyDescent="0.25">
      <c r="A7369" t="str">
        <f>T("   852432")</f>
        <v xml:space="preserve">   852432</v>
      </c>
      <c r="B7369" t="str">
        <f>T("   Disques enregistrés pour systèmes de lecture optique par faisceau laser, pour la reproduction du son uniquement")</f>
        <v xml:space="preserve">   Disques enregistrés pour systèmes de lecture optique par faisceau laser, pour la reproduction du son uniquement</v>
      </c>
      <c r="C7369">
        <v>37501</v>
      </c>
      <c r="D7369">
        <v>20</v>
      </c>
    </row>
    <row r="7370" spans="1:4" x14ac:dyDescent="0.25">
      <c r="A7370" t="str">
        <f>T("   852499")</f>
        <v xml:space="preserve">   852499</v>
      </c>
      <c r="B7370" t="s">
        <v>465</v>
      </c>
      <c r="C7370">
        <v>555598</v>
      </c>
      <c r="D7370">
        <v>257</v>
      </c>
    </row>
    <row r="7371" spans="1:4" x14ac:dyDescent="0.25">
      <c r="A7371" t="str">
        <f>T("   852520")</f>
        <v xml:space="preserve">   852520</v>
      </c>
      <c r="B7371" t="str">
        <f>T("   Appareils d'émission incorporant un appareil de réception, pour la radiotéléphonie, la radiotélégraphie, la radiodiffusion ou la télévision")</f>
        <v xml:space="preserve">   Appareils d'émission incorporant un appareil de réception, pour la radiotéléphonie, la radiotélégraphie, la radiodiffusion ou la télévision</v>
      </c>
      <c r="C7371">
        <v>29720</v>
      </c>
      <c r="D7371">
        <v>130</v>
      </c>
    </row>
    <row r="7372" spans="1:4" x14ac:dyDescent="0.25">
      <c r="A7372" t="str">
        <f>T("   852719")</f>
        <v xml:space="preserve">   852719</v>
      </c>
      <c r="B7372" t="str">
        <f>T("   Récepteurs de radiodiffusion pouvant fonctionner sans source d'énergie extérieure, y.c. les appareils recevant également la radiotéléphonie ou la radiotélégraphie, non combinés à un appareil d'enregistrement et de reproduction du son")</f>
        <v xml:space="preserve">   Récepteurs de radiodiffusion pouvant fonctionner sans source d'énergie extérieure, y.c. les appareils recevant également la radiotéléphonie ou la radiotélégraphie, non combinés à un appareil d'enregistrement et de reproduction du son</v>
      </c>
      <c r="C7372">
        <v>26239</v>
      </c>
      <c r="D7372">
        <v>15</v>
      </c>
    </row>
    <row r="7373" spans="1:4" x14ac:dyDescent="0.25">
      <c r="A7373" t="str">
        <f>T("   852812")</f>
        <v xml:space="preserve">   852812</v>
      </c>
      <c r="B7373"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7373">
        <v>8671130</v>
      </c>
      <c r="D7373">
        <v>30524</v>
      </c>
    </row>
    <row r="7374" spans="1:4" x14ac:dyDescent="0.25">
      <c r="A7374" t="str">
        <f>T("   852813")</f>
        <v xml:space="preserve">   852813</v>
      </c>
      <c r="B7374" t="str">
        <f>T("   Appareils récepteurs pour la télévision en noir et blanc ou en autres monochromes, même incorporant un appareil récepteur de radiodiffusion ou un appareil d'enregistrement ou de reproduction du son ou des images")</f>
        <v xml:space="preserve">   Appareils récepteurs pour la télévision en noir et blanc ou en autres monochromes, même incorporant un appareil récepteur de radiodiffusion ou un appareil d'enregistrement ou de reproduction du son ou des images</v>
      </c>
      <c r="C7374">
        <v>359000</v>
      </c>
      <c r="D7374">
        <v>1000</v>
      </c>
    </row>
    <row r="7375" spans="1:4" x14ac:dyDescent="0.25">
      <c r="A7375" t="str">
        <f>T("   852821")</f>
        <v xml:space="preserve">   852821</v>
      </c>
      <c r="B7375" t="str">
        <f>T("   Moniteurs vidéo en couleurs")</f>
        <v xml:space="preserve">   Moniteurs vidéo en couleurs</v>
      </c>
      <c r="C7375">
        <v>938472</v>
      </c>
      <c r="D7375">
        <v>2325</v>
      </c>
    </row>
    <row r="7376" spans="1:4" x14ac:dyDescent="0.25">
      <c r="A7376" t="str">
        <f>T("   852910")</f>
        <v xml:space="preserve">   852910</v>
      </c>
      <c r="B7376"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7376">
        <v>164646</v>
      </c>
      <c r="D7376">
        <v>33</v>
      </c>
    </row>
    <row r="7377" spans="1:4" x14ac:dyDescent="0.25">
      <c r="A7377" t="str">
        <f>T("   853180")</f>
        <v xml:space="preserve">   853180</v>
      </c>
      <c r="B7377" t="s">
        <v>472</v>
      </c>
      <c r="C7377">
        <v>474259</v>
      </c>
      <c r="D7377">
        <v>50</v>
      </c>
    </row>
    <row r="7378" spans="1:4" x14ac:dyDescent="0.25">
      <c r="A7378" t="str">
        <f>T("   853229")</f>
        <v xml:space="preserve">   853229</v>
      </c>
      <c r="B7378" t="str">
        <f>T("   Condensateurs fixes (autres que condensateurs au tantale, condensateurs électrolytiques à l'aluminium, condensateurs diélectriques en céramique, en papier et en matières plastiques et condensateurs de puissance)")</f>
        <v xml:space="preserve">   Condensateurs fixes (autres que condensateurs au tantale, condensateurs électrolytiques à l'aluminium, condensateurs diélectriques en céramique, en papier et en matières plastiques et condensateurs de puissance)</v>
      </c>
      <c r="C7378">
        <v>47229</v>
      </c>
      <c r="D7378">
        <v>10</v>
      </c>
    </row>
    <row r="7379" spans="1:4" x14ac:dyDescent="0.25">
      <c r="A7379" t="str">
        <f>T("   853400")</f>
        <v xml:space="preserve">   853400</v>
      </c>
      <c r="B7379" t="str">
        <f>T("   Circuits imprimés")</f>
        <v xml:space="preserve">   Circuits imprimés</v>
      </c>
      <c r="C7379">
        <v>1496245</v>
      </c>
      <c r="D7379">
        <v>9</v>
      </c>
    </row>
    <row r="7380" spans="1:4" x14ac:dyDescent="0.25">
      <c r="A7380" t="str">
        <f>T("   853540")</f>
        <v xml:space="preserve">   853540</v>
      </c>
      <c r="B7380" t="str">
        <f>T("   Parafoudres, limiteurs de tension et étaleurs d'ondes, pour une tension &gt; 1.000 V")</f>
        <v xml:space="preserve">   Parafoudres, limiteurs de tension et étaleurs d'ondes, pour une tension &gt; 1.000 V</v>
      </c>
      <c r="C7380">
        <v>600623</v>
      </c>
      <c r="D7380">
        <v>155</v>
      </c>
    </row>
    <row r="7381" spans="1:4" x14ac:dyDescent="0.25">
      <c r="A7381" t="str">
        <f>T("   853590")</f>
        <v xml:space="preserve">   853590</v>
      </c>
      <c r="B7381" t="s">
        <v>473</v>
      </c>
      <c r="C7381">
        <v>16072961</v>
      </c>
      <c r="D7381">
        <v>2368</v>
      </c>
    </row>
    <row r="7382" spans="1:4" x14ac:dyDescent="0.25">
      <c r="A7382" t="str">
        <f>T("   853649")</f>
        <v xml:space="preserve">   853649</v>
      </c>
      <c r="B7382" t="str">
        <f>T("   Relais, pour une tension &gt; 60 V mais &lt;= 1.000 V")</f>
        <v xml:space="preserve">   Relais, pour une tension &gt; 60 V mais &lt;= 1.000 V</v>
      </c>
      <c r="C7382">
        <v>172518</v>
      </c>
      <c r="D7382">
        <v>2</v>
      </c>
    </row>
    <row r="7383" spans="1:4" x14ac:dyDescent="0.25">
      <c r="A7383" t="str">
        <f>T("   853650")</f>
        <v xml:space="preserve">   853650</v>
      </c>
      <c r="B7383" t="str">
        <f>T("   Interrupteurs, sectionneurs et commutateurs, pour une tension &lt;= 1.000 V (autres que relais et disjoncteurs)")</f>
        <v xml:space="preserve">   Interrupteurs, sectionneurs et commutateurs, pour une tension &lt;= 1.000 V (autres que relais et disjoncteurs)</v>
      </c>
      <c r="C7383">
        <v>2101696</v>
      </c>
      <c r="D7383">
        <v>15</v>
      </c>
    </row>
    <row r="7384" spans="1:4" x14ac:dyDescent="0.25">
      <c r="A7384" t="str">
        <f>T("   853669")</f>
        <v xml:space="preserve">   853669</v>
      </c>
      <c r="B7384" t="str">
        <f>T("   Fiches et prises de courant, pour une tension &lt;= 1.000 V (sauf douilles pour lampes)")</f>
        <v xml:space="preserve">   Fiches et prises de courant, pour une tension &lt;= 1.000 V (sauf douilles pour lampes)</v>
      </c>
      <c r="C7384">
        <v>35074684</v>
      </c>
      <c r="D7384">
        <v>3120</v>
      </c>
    </row>
    <row r="7385" spans="1:4" x14ac:dyDescent="0.25">
      <c r="A7385" t="str">
        <f>T("   853690")</f>
        <v xml:space="preserve">   853690</v>
      </c>
      <c r="B7385" t="s">
        <v>474</v>
      </c>
      <c r="C7385">
        <v>25073886</v>
      </c>
      <c r="D7385">
        <v>3295</v>
      </c>
    </row>
    <row r="7386" spans="1:4" x14ac:dyDescent="0.25">
      <c r="A7386" t="str">
        <f>T("   853710")</f>
        <v xml:space="preserve">   853710</v>
      </c>
      <c r="B7386"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7386">
        <v>1131244</v>
      </c>
      <c r="D7386">
        <v>376</v>
      </c>
    </row>
    <row r="7387" spans="1:4" x14ac:dyDescent="0.25">
      <c r="A7387" t="str">
        <f>T("   853890")</f>
        <v xml:space="preserve">   853890</v>
      </c>
      <c r="B7387" t="s">
        <v>475</v>
      </c>
      <c r="C7387">
        <v>102330</v>
      </c>
      <c r="D7387">
        <v>30</v>
      </c>
    </row>
    <row r="7388" spans="1:4" x14ac:dyDescent="0.25">
      <c r="A7388" t="str">
        <f>T("   853939")</f>
        <v xml:space="preserve">   853939</v>
      </c>
      <c r="B7388" t="str">
        <f>T("   Lampes et tubes à décharge (autres que fluorescents, à cathode chaude, à vapeur de mercure ou de sodium, à halogénure métallique et qu'à rayons ultraviolets)")</f>
        <v xml:space="preserve">   Lampes et tubes à décharge (autres que fluorescents, à cathode chaude, à vapeur de mercure ou de sodium, à halogénure métallique et qu'à rayons ultraviolets)</v>
      </c>
      <c r="C7388">
        <v>901809</v>
      </c>
      <c r="D7388">
        <v>507</v>
      </c>
    </row>
    <row r="7389" spans="1:4" x14ac:dyDescent="0.25">
      <c r="A7389" t="str">
        <f>T("   854229")</f>
        <v xml:space="preserve">   854229</v>
      </c>
      <c r="B7389" t="str">
        <f>T("   Circuits intégrés monolithiques, analogiques ou analogiques-numériques")</f>
        <v xml:space="preserve">   Circuits intégrés monolithiques, analogiques ou analogiques-numériques</v>
      </c>
      <c r="C7389">
        <v>90000</v>
      </c>
      <c r="D7389">
        <v>1041</v>
      </c>
    </row>
    <row r="7390" spans="1:4" x14ac:dyDescent="0.25">
      <c r="A7390" t="str">
        <f>T("   854411")</f>
        <v xml:space="preserve">   854411</v>
      </c>
      <c r="B7390" t="str">
        <f>T("   Fils pour bobinages pour l'électricité, en cuivre, isolés")</f>
        <v xml:space="preserve">   Fils pour bobinages pour l'électricité, en cuivre, isolés</v>
      </c>
      <c r="C7390">
        <v>8953920</v>
      </c>
      <c r="D7390">
        <v>560</v>
      </c>
    </row>
    <row r="7391" spans="1:4" x14ac:dyDescent="0.25">
      <c r="A7391" t="str">
        <f>T("   854441")</f>
        <v xml:space="preserve">   854441</v>
      </c>
      <c r="B7391" t="str">
        <f>T("   Conducteurs électriques, pour tension &lt;= 80 V, isolés, avec pièces de connexion, n.d.a.")</f>
        <v xml:space="preserve">   Conducteurs électriques, pour tension &lt;= 80 V, isolés, avec pièces de connexion, n.d.a.</v>
      </c>
      <c r="C7391">
        <v>570685</v>
      </c>
      <c r="D7391">
        <v>350</v>
      </c>
    </row>
    <row r="7392" spans="1:4" x14ac:dyDescent="0.25">
      <c r="A7392" t="str">
        <f>T("   854449")</f>
        <v xml:space="preserve">   854449</v>
      </c>
      <c r="B7392" t="str">
        <f>T("   CONDUCTEURS ÉLECTRIQUES, POUR TENSION &lt;= 1.000 V, ISOLÉS, SANS PIÈCES DE CONNEXION, N.D.A.")</f>
        <v xml:space="preserve">   CONDUCTEURS ÉLECTRIQUES, POUR TENSION &lt;= 1.000 V, ISOLÉS, SANS PIÈCES DE CONNEXION, N.D.A.</v>
      </c>
      <c r="C7392">
        <v>638584</v>
      </c>
      <c r="D7392">
        <v>282.8</v>
      </c>
    </row>
    <row r="7393" spans="1:4" x14ac:dyDescent="0.25">
      <c r="A7393" t="str">
        <f>T("   854459")</f>
        <v xml:space="preserve">   854459</v>
      </c>
      <c r="B7393" t="str">
        <f>T("   Conducteurs électriques, pour tension &gt; 80 V mais &lt;= 1.000 V, sans pièces de connexion, n.d.a.")</f>
        <v xml:space="preserve">   Conducteurs électriques, pour tension &gt; 80 V mais &lt;= 1.000 V, sans pièces de connexion, n.d.a.</v>
      </c>
      <c r="C7393">
        <v>14137394</v>
      </c>
      <c r="D7393">
        <v>4050</v>
      </c>
    </row>
    <row r="7394" spans="1:4" x14ac:dyDescent="0.25">
      <c r="A7394" t="str">
        <f>T("   854620")</f>
        <v xml:space="preserve">   854620</v>
      </c>
      <c r="B7394" t="str">
        <f>T("   Isolateurs en céramique, pour l'électricité (sauf pièces isolantes)")</f>
        <v xml:space="preserve">   Isolateurs en céramique, pour l'électricité (sauf pièces isolantes)</v>
      </c>
      <c r="C7394">
        <v>452612</v>
      </c>
      <c r="D7394">
        <v>200</v>
      </c>
    </row>
    <row r="7395" spans="1:4" x14ac:dyDescent="0.25">
      <c r="A7395" t="str">
        <f>T("   870120")</f>
        <v xml:space="preserve">   870120</v>
      </c>
      <c r="B7395" t="str">
        <f>T("   Tracteurs routiers pour semi-remorques")</f>
        <v xml:space="preserve">   Tracteurs routiers pour semi-remorques</v>
      </c>
      <c r="C7395">
        <v>43024932</v>
      </c>
      <c r="D7395">
        <v>164673</v>
      </c>
    </row>
    <row r="7396" spans="1:4" x14ac:dyDescent="0.25">
      <c r="A7396" t="str">
        <f>T("   870190")</f>
        <v xml:space="preserve">   870190</v>
      </c>
      <c r="B7396" t="str">
        <f>T("   Tracteurs (à l'excl. des chariots-tracteurs du n° 8709, ainsi que des motoculteurs, tracteurs routiers pour semi-remorques et tracteurs à chenilles)")</f>
        <v xml:space="preserve">   Tracteurs (à l'excl. des chariots-tracteurs du n° 8709, ainsi que des motoculteurs, tracteurs routiers pour semi-remorques et tracteurs à chenilles)</v>
      </c>
      <c r="C7396">
        <v>6326544</v>
      </c>
      <c r="D7396">
        <v>7800</v>
      </c>
    </row>
    <row r="7397" spans="1:4" x14ac:dyDescent="0.25">
      <c r="A7397" t="str">
        <f>T("   870210")</f>
        <v xml:space="preserve">   870210</v>
      </c>
      <c r="B7397" t="s">
        <v>477</v>
      </c>
      <c r="C7397">
        <v>3600407</v>
      </c>
      <c r="D7397">
        <v>6140</v>
      </c>
    </row>
    <row r="7398" spans="1:4" x14ac:dyDescent="0.25">
      <c r="A7398" t="str">
        <f>T("   870290")</f>
        <v xml:space="preserve">   870290</v>
      </c>
      <c r="B7398" t="s">
        <v>478</v>
      </c>
      <c r="C7398">
        <v>10460007</v>
      </c>
      <c r="D7398">
        <v>6715</v>
      </c>
    </row>
    <row r="7399" spans="1:4" x14ac:dyDescent="0.25">
      <c r="A7399" t="str">
        <f>T("   870322")</f>
        <v xml:space="preserve">   870322</v>
      </c>
      <c r="B7399" t="s">
        <v>480</v>
      </c>
      <c r="C7399">
        <v>110745841</v>
      </c>
      <c r="D7399">
        <v>95951</v>
      </c>
    </row>
    <row r="7400" spans="1:4" x14ac:dyDescent="0.25">
      <c r="A7400" t="str">
        <f>T("   870323")</f>
        <v xml:space="preserve">   870323</v>
      </c>
      <c r="B7400" t="s">
        <v>481</v>
      </c>
      <c r="C7400">
        <v>50414146</v>
      </c>
      <c r="D7400">
        <v>18975</v>
      </c>
    </row>
    <row r="7401" spans="1:4" x14ac:dyDescent="0.25">
      <c r="A7401" t="str">
        <f>T("   870332")</f>
        <v xml:space="preserve">   870332</v>
      </c>
      <c r="B7401" t="s">
        <v>484</v>
      </c>
      <c r="C7401">
        <v>1200000</v>
      </c>
      <c r="D7401">
        <v>1820</v>
      </c>
    </row>
    <row r="7402" spans="1:4" x14ac:dyDescent="0.25">
      <c r="A7402" t="str">
        <f>T("   870421")</f>
        <v xml:space="preserve">   870421</v>
      </c>
      <c r="B7402" t="s">
        <v>486</v>
      </c>
      <c r="C7402">
        <v>22127494</v>
      </c>
      <c r="D7402">
        <v>21855</v>
      </c>
    </row>
    <row r="7403" spans="1:4" x14ac:dyDescent="0.25">
      <c r="A7403" t="str">
        <f>T("   870422")</f>
        <v xml:space="preserve">   870422</v>
      </c>
      <c r="B7403" t="s">
        <v>487</v>
      </c>
      <c r="C7403">
        <v>1233068182</v>
      </c>
      <c r="D7403">
        <v>704423</v>
      </c>
    </row>
    <row r="7404" spans="1:4" x14ac:dyDescent="0.25">
      <c r="A7404" t="str">
        <f>T("   870423")</f>
        <v xml:space="preserve">   870423</v>
      </c>
      <c r="B7404" t="s">
        <v>488</v>
      </c>
      <c r="C7404">
        <v>2000000</v>
      </c>
      <c r="D7404">
        <v>11350</v>
      </c>
    </row>
    <row r="7405" spans="1:4" x14ac:dyDescent="0.25">
      <c r="A7405" t="str">
        <f>T("   870431")</f>
        <v xml:space="preserve">   870431</v>
      </c>
      <c r="B7405" t="s">
        <v>489</v>
      </c>
      <c r="C7405">
        <v>5910317</v>
      </c>
      <c r="D7405">
        <v>14900</v>
      </c>
    </row>
    <row r="7406" spans="1:4" x14ac:dyDescent="0.25">
      <c r="A7406" t="str">
        <f>T("   870490")</f>
        <v xml:space="preserve">   870490</v>
      </c>
      <c r="B7406" t="str">
        <f>T("   Véhicules automobiles pour le transport de marchandises à moteur autre qu'à piston à allumage par étincelles ou moteur diesel ou semi-diesel (sauf tombereaux automoteurs du n° 8704.10, véhicules automobiles à usages spéciaux du n° 8705)")</f>
        <v xml:space="preserve">   Véhicules automobiles pour le transport de marchandises à moteur autre qu'à piston à allumage par étincelles ou moteur diesel ou semi-diesel (sauf tombereaux automoteurs du n° 8704.10, véhicules automobiles à usages spéciaux du n° 8705)</v>
      </c>
      <c r="C7406">
        <v>2400000</v>
      </c>
      <c r="D7406">
        <v>2440</v>
      </c>
    </row>
    <row r="7407" spans="1:4" x14ac:dyDescent="0.25">
      <c r="A7407" t="str">
        <f>T("   870870")</f>
        <v xml:space="preserve">   870870</v>
      </c>
      <c r="B7407" t="str">
        <f>T("   ROUES, LEURS PARTIES ET ACCESSOIRES POUR TRACTEURS, VÉHICULES POUR LE TRANSPORT DE &gt;= 10 PERSONNES, CHAUFFEUR INCLUS, VOITURES DE TOURISME, VÉHICULES POUR LE TRANSPORT DE MARCHANDISES ET VÉHICULES À USAGES SPÉCIAUX, N.D.A.")</f>
        <v xml:space="preserve">   ROUES, LEURS PARTIES ET ACCESSOIRES POUR TRACTEURS, VÉHICULES POUR LE TRANSPORT DE &gt;= 10 PERSONNES, CHAUFFEUR INCLUS, VOITURES DE TOURISME, VÉHICULES POUR LE TRANSPORT DE MARCHANDISES ET VÉHICULES À USAGES SPÉCIAUX, N.D.A.</v>
      </c>
      <c r="C7407">
        <v>890000</v>
      </c>
      <c r="D7407">
        <v>4000</v>
      </c>
    </row>
    <row r="7408" spans="1:4" x14ac:dyDescent="0.25">
      <c r="A7408" t="str">
        <f>T("   870899")</f>
        <v xml:space="preserve">   870899</v>
      </c>
      <c r="B7408"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7408">
        <v>7210768</v>
      </c>
      <c r="D7408">
        <v>24156</v>
      </c>
    </row>
    <row r="7409" spans="1:4" x14ac:dyDescent="0.25">
      <c r="A7409" t="str">
        <f>T("   871110")</f>
        <v xml:space="preserve">   871110</v>
      </c>
      <c r="B7409" t="str">
        <f>T("   Cyclomoteurs, à moteur à piston alternatif, cylindrée &lt;= 50 cm³, y.c. cycles à moteur auxiliaire")</f>
        <v xml:space="preserve">   Cyclomoteurs, à moteur à piston alternatif, cylindrée &lt;= 50 cm³, y.c. cycles à moteur auxiliaire</v>
      </c>
      <c r="C7409">
        <v>1042472</v>
      </c>
      <c r="D7409">
        <v>1645</v>
      </c>
    </row>
    <row r="7410" spans="1:4" x14ac:dyDescent="0.25">
      <c r="A7410" t="str">
        <f>T("   871120")</f>
        <v xml:space="preserve">   871120</v>
      </c>
      <c r="B7410" t="str">
        <f>T("   Motocycles à moteur à piston alternatif, cylindrée &gt; 50 cm³ mais &lt;= 250 cm³")</f>
        <v xml:space="preserve">   Motocycles à moteur à piston alternatif, cylindrée &gt; 50 cm³ mais &lt;= 250 cm³</v>
      </c>
      <c r="C7410">
        <v>5672158</v>
      </c>
      <c r="D7410">
        <v>4381</v>
      </c>
    </row>
    <row r="7411" spans="1:4" x14ac:dyDescent="0.25">
      <c r="A7411" t="str">
        <f>T("   871130")</f>
        <v xml:space="preserve">   871130</v>
      </c>
      <c r="B7411" t="str">
        <f>T("   Motocycles à moteur à piston alternatif, cylindrée &gt; 250 cm³ mais &lt;= 500 cm³")</f>
        <v xml:space="preserve">   Motocycles à moteur à piston alternatif, cylindrée &gt; 250 cm³ mais &lt;= 500 cm³</v>
      </c>
      <c r="C7411">
        <v>126600</v>
      </c>
      <c r="D7411">
        <v>200</v>
      </c>
    </row>
    <row r="7412" spans="1:4" x14ac:dyDescent="0.25">
      <c r="A7412" t="str">
        <f>T("   871140")</f>
        <v xml:space="preserve">   871140</v>
      </c>
      <c r="B7412" t="str">
        <f>T("   Motocycles à moteur à piston alternatif, cylindrée &gt; 500 cm³ mais &lt;= 800 cm³")</f>
        <v xml:space="preserve">   Motocycles à moteur à piston alternatif, cylindrée &gt; 500 cm³ mais &lt;= 800 cm³</v>
      </c>
      <c r="C7412">
        <v>400792</v>
      </c>
      <c r="D7412">
        <v>350</v>
      </c>
    </row>
    <row r="7413" spans="1:4" x14ac:dyDescent="0.25">
      <c r="A7413" t="str">
        <f>T("   871190")</f>
        <v xml:space="preserve">   871190</v>
      </c>
      <c r="B7413" t="str">
        <f>T("   Side-cars")</f>
        <v xml:space="preserve">   Side-cars</v>
      </c>
      <c r="C7413">
        <v>1000763</v>
      </c>
      <c r="D7413">
        <v>1880</v>
      </c>
    </row>
    <row r="7414" spans="1:4" x14ac:dyDescent="0.25">
      <c r="A7414" t="str">
        <f>T("   871200")</f>
        <v xml:space="preserve">   871200</v>
      </c>
      <c r="B7414" t="str">
        <f>T("   BICYCLETTES ET AUTRES CYCLES, -Y.C. LES TRIPORTEURS-, SANS MOTEUR")</f>
        <v xml:space="preserve">   BICYCLETTES ET AUTRES CYCLES, -Y.C. LES TRIPORTEURS-, SANS MOTEUR</v>
      </c>
      <c r="C7414">
        <v>1123229</v>
      </c>
      <c r="D7414">
        <v>1495</v>
      </c>
    </row>
    <row r="7415" spans="1:4" x14ac:dyDescent="0.25">
      <c r="A7415" t="str">
        <f>T("   871411")</f>
        <v xml:space="preserve">   871411</v>
      </c>
      <c r="B7415" t="str">
        <f>T("   Selles de motocycles, y.c. de cyclomoteurs")</f>
        <v xml:space="preserve">   Selles de motocycles, y.c. de cyclomoteurs</v>
      </c>
      <c r="C7415">
        <v>134472</v>
      </c>
      <c r="D7415">
        <v>150</v>
      </c>
    </row>
    <row r="7416" spans="1:4" x14ac:dyDescent="0.25">
      <c r="A7416" t="str">
        <f>T("   871419")</f>
        <v xml:space="preserve">   871419</v>
      </c>
      <c r="B7416" t="str">
        <f>T("   Parties et accessoires de motocycles, y.c. de cyclomoteurs, n.d.a.")</f>
        <v xml:space="preserve">   Parties et accessoires de motocycles, y.c. de cyclomoteurs, n.d.a.</v>
      </c>
      <c r="C7416">
        <v>703845</v>
      </c>
      <c r="D7416">
        <v>4720</v>
      </c>
    </row>
    <row r="7417" spans="1:4" x14ac:dyDescent="0.25">
      <c r="A7417" t="str">
        <f>T("   871620")</f>
        <v xml:space="preserve">   871620</v>
      </c>
      <c r="B7417" t="str">
        <f>T("   Remorques et semi-remorques autochargeuses ou autodéchargeuses, pour usages agricoles")</f>
        <v xml:space="preserve">   Remorques et semi-remorques autochargeuses ou autodéchargeuses, pour usages agricoles</v>
      </c>
      <c r="C7417">
        <v>1242411</v>
      </c>
      <c r="D7417">
        <v>11300</v>
      </c>
    </row>
    <row r="7418" spans="1:4" x14ac:dyDescent="0.25">
      <c r="A7418" t="str">
        <f>T("   871631")</f>
        <v xml:space="preserve">   871631</v>
      </c>
      <c r="B7418" t="str">
        <f>T("   Remorques-citernes ne circulant pas sur rails")</f>
        <v xml:space="preserve">   Remorques-citernes ne circulant pas sur rails</v>
      </c>
      <c r="C7418">
        <v>1675444</v>
      </c>
      <c r="D7418">
        <v>13840</v>
      </c>
    </row>
    <row r="7419" spans="1:4" x14ac:dyDescent="0.25">
      <c r="A7419" t="str">
        <f>T("   871640")</f>
        <v xml:space="preserve">   871640</v>
      </c>
      <c r="B7419"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7419">
        <v>14454827</v>
      </c>
      <c r="D7419">
        <v>49800</v>
      </c>
    </row>
    <row r="7420" spans="1:4" x14ac:dyDescent="0.25">
      <c r="A7420" t="str">
        <f>T("   871680")</f>
        <v xml:space="preserve">   871680</v>
      </c>
      <c r="B7420" t="str">
        <f>T("   Véhicules dirigés à la main et autres véhicules non automobiles, autres que remorques et semi-remorques")</f>
        <v xml:space="preserve">   Véhicules dirigés à la main et autres véhicules non automobiles, autres que remorques et semi-remorques</v>
      </c>
      <c r="C7420">
        <v>175999</v>
      </c>
      <c r="D7420">
        <v>151.51</v>
      </c>
    </row>
    <row r="7421" spans="1:4" x14ac:dyDescent="0.25">
      <c r="A7421" t="str">
        <f>T("   890190")</f>
        <v xml:space="preserve">   890190</v>
      </c>
      <c r="B7421" t="str">
        <f>T("   Cargos et bateaux pour le transport de personnes et de marchandises (autres que bateaux frigorifiques, bateaux-citernes, cargos et bateaux destinés essentiellement au transport des personnes)")</f>
        <v xml:space="preserve">   Cargos et bateaux pour le transport de personnes et de marchandises (autres que bateaux frigorifiques, bateaux-citernes, cargos et bateaux destinés essentiellement au transport des personnes)</v>
      </c>
      <c r="C7421">
        <v>1083272</v>
      </c>
      <c r="D7421">
        <v>1242</v>
      </c>
    </row>
    <row r="7422" spans="1:4" x14ac:dyDescent="0.25">
      <c r="A7422" t="str">
        <f>T("   900490")</f>
        <v xml:space="preserve">   900490</v>
      </c>
      <c r="B7422" t="str">
        <f>T("   Lunettes correctrices, protectrices ou autres et articles simil. (à l'excl. des lunettes pour tests visuels, des lunettes solaires, des verres de contact, des verres de lunetterie et des montures de lunettes)")</f>
        <v xml:space="preserve">   Lunettes correctrices, protectrices ou autres et articles simil. (à l'excl. des lunettes pour tests visuels, des lunettes solaires, des verres de contact, des verres de lunetterie et des montures de lunettes)</v>
      </c>
      <c r="C7422">
        <v>2042266</v>
      </c>
      <c r="D7422">
        <v>200</v>
      </c>
    </row>
    <row r="7423" spans="1:4" x14ac:dyDescent="0.25">
      <c r="A7423" t="str">
        <f>T("   900510")</f>
        <v xml:space="preserve">   900510</v>
      </c>
      <c r="B7423" t="str">
        <f>T("   Jumelles")</f>
        <v xml:space="preserve">   Jumelles</v>
      </c>
      <c r="C7423">
        <v>117441</v>
      </c>
      <c r="D7423">
        <v>280</v>
      </c>
    </row>
    <row r="7424" spans="1:4" x14ac:dyDescent="0.25">
      <c r="A7424" t="str">
        <f>T("   900791")</f>
        <v xml:space="preserve">   900791</v>
      </c>
      <c r="B7424" t="str">
        <f>T("   PARTIES ET ACCESSOIRES DE CAMÉRAS CINEMATOGRAPHIQUES, N.D.A.")</f>
        <v xml:space="preserve">   PARTIES ET ACCESSOIRES DE CAMÉRAS CINEMATOGRAPHIQUES, N.D.A.</v>
      </c>
      <c r="C7424">
        <v>1712056</v>
      </c>
      <c r="D7424">
        <v>115</v>
      </c>
    </row>
    <row r="7425" spans="1:4" x14ac:dyDescent="0.25">
      <c r="A7425" t="str">
        <f>T("   900911")</f>
        <v xml:space="preserve">   900911</v>
      </c>
      <c r="B7425" t="str">
        <f>T("   Appareils de photocopie électrostatiques, fonctionnant par reproduction directe de l'image de l'original sur la copie [procédé direct]")</f>
        <v xml:space="preserve">   Appareils de photocopie électrostatiques, fonctionnant par reproduction directe de l'image de l'original sur la copie [procédé direct]</v>
      </c>
      <c r="C7425">
        <v>215089</v>
      </c>
      <c r="D7425">
        <v>480</v>
      </c>
    </row>
    <row r="7426" spans="1:4" x14ac:dyDescent="0.25">
      <c r="A7426" t="str">
        <f>T("   900921")</f>
        <v xml:space="preserve">   900921</v>
      </c>
      <c r="B7426" t="str">
        <f>T("   Appareils de photocopie à système optique (autres qu'électrostatiques)")</f>
        <v xml:space="preserve">   Appareils de photocopie à système optique (autres qu'électrostatiques)</v>
      </c>
      <c r="C7426">
        <v>72156</v>
      </c>
      <c r="D7426">
        <v>23</v>
      </c>
    </row>
    <row r="7427" spans="1:4" x14ac:dyDescent="0.25">
      <c r="A7427" t="str">
        <f>T("   901813")</f>
        <v xml:space="preserve">   901813</v>
      </c>
      <c r="B7427" t="str">
        <f>T("   Appareils de diagnostic par visualisation à résonance magnétique")</f>
        <v xml:space="preserve">   Appareils de diagnostic par visualisation à résonance magnétique</v>
      </c>
      <c r="C7427">
        <v>179000</v>
      </c>
      <c r="D7427">
        <v>167</v>
      </c>
    </row>
    <row r="7428" spans="1:4" x14ac:dyDescent="0.25">
      <c r="A7428" t="str">
        <f>T("   901832")</f>
        <v xml:space="preserve">   901832</v>
      </c>
      <c r="B7428" t="str">
        <f>T("   Aiguilles tubulaires en métal et aiguilles à sutures, pour la médecine")</f>
        <v xml:space="preserve">   Aiguilles tubulaires en métal et aiguilles à sutures, pour la médecine</v>
      </c>
      <c r="C7428">
        <v>14434400</v>
      </c>
      <c r="D7428">
        <v>1483</v>
      </c>
    </row>
    <row r="7429" spans="1:4" x14ac:dyDescent="0.25">
      <c r="A7429" t="str">
        <f>T("   901890")</f>
        <v xml:space="preserve">   901890</v>
      </c>
      <c r="B7429" t="str">
        <f>T("   Instruments et appareils pour la médecine, la chirurgie ou l'art vétérinaire, n.d.a.")</f>
        <v xml:space="preserve">   Instruments et appareils pour la médecine, la chirurgie ou l'art vétérinaire, n.d.a.</v>
      </c>
      <c r="C7429">
        <v>56714111</v>
      </c>
      <c r="D7429">
        <v>14239</v>
      </c>
    </row>
    <row r="7430" spans="1:4" x14ac:dyDescent="0.25">
      <c r="A7430" t="str">
        <f>T("   902214")</f>
        <v xml:space="preserve">   902214</v>
      </c>
      <c r="B7430" t="str">
        <f>T("   Appareils à rayons X pour usages médicaux, chirurgicaux ou vétérinaires (à l'excl. des appareils pour l'art dentaire et des appareils de tomographie pilotés par une machine automatique de traitement de l'information)")</f>
        <v xml:space="preserve">   Appareils à rayons X pour usages médicaux, chirurgicaux ou vétérinaires (à l'excl. des appareils pour l'art dentaire et des appareils de tomographie pilotés par une machine automatique de traitement de l'information)</v>
      </c>
      <c r="C7430">
        <v>28697594</v>
      </c>
      <c r="D7430">
        <v>718</v>
      </c>
    </row>
    <row r="7431" spans="1:4" x14ac:dyDescent="0.25">
      <c r="A7431" t="str">
        <f>T("   902580")</f>
        <v xml:space="preserve">   902580</v>
      </c>
      <c r="B7431" t="s">
        <v>505</v>
      </c>
      <c r="C7431">
        <v>370617</v>
      </c>
      <c r="D7431">
        <v>10</v>
      </c>
    </row>
    <row r="7432" spans="1:4" x14ac:dyDescent="0.25">
      <c r="A7432" t="str">
        <f>T("   902620")</f>
        <v xml:space="preserve">   902620</v>
      </c>
      <c r="B7432" t="str">
        <f>T("   Instruments et appareils pour la mesure ou le contrôle de la pression des liquides ou des gaz (à l'excl. des instruments et appareils pour la régulation ou le contrôle automatiques)")</f>
        <v xml:space="preserve">   Instruments et appareils pour la mesure ou le contrôle de la pression des liquides ou des gaz (à l'excl. des instruments et appareils pour la régulation ou le contrôle automatiques)</v>
      </c>
      <c r="C7432">
        <v>884234</v>
      </c>
      <c r="D7432">
        <v>13</v>
      </c>
    </row>
    <row r="7433" spans="1:4" x14ac:dyDescent="0.25">
      <c r="A7433" t="str">
        <f>T("   902680")</f>
        <v xml:space="preserve">   902680</v>
      </c>
      <c r="B7433" t="str">
        <f>T("   Instruments et appareils pour la mesure et le contrôle des caractéristiques variables des liquides ou des gaz, n.d.a.")</f>
        <v xml:space="preserve">   Instruments et appareils pour la mesure et le contrôle des caractéristiques variables des liquides ou des gaz, n.d.a.</v>
      </c>
      <c r="C7433">
        <v>1191224</v>
      </c>
      <c r="D7433">
        <v>195</v>
      </c>
    </row>
    <row r="7434" spans="1:4" x14ac:dyDescent="0.25">
      <c r="A7434" t="str">
        <f>T("   902820")</f>
        <v xml:space="preserve">   902820</v>
      </c>
      <c r="B7434" t="str">
        <f>T("   Compteurs de liquides, y.c. les compteurs pour leur étalonnage")</f>
        <v xml:space="preserve">   Compteurs de liquides, y.c. les compteurs pour leur étalonnage</v>
      </c>
      <c r="C7434">
        <v>71218039</v>
      </c>
      <c r="D7434">
        <v>19435</v>
      </c>
    </row>
    <row r="7435" spans="1:4" x14ac:dyDescent="0.25">
      <c r="A7435" t="str">
        <f>T("   902890")</f>
        <v xml:space="preserve">   902890</v>
      </c>
      <c r="B7435" t="str">
        <f>T("   Parties et accessoires de compteurs de gaz, de liquides ou d'électricité, n.d.a.")</f>
        <v xml:space="preserve">   Parties et accessoires de compteurs de gaz, de liquides ou d'électricité, n.d.a.</v>
      </c>
      <c r="C7435">
        <v>2779764</v>
      </c>
      <c r="D7435">
        <v>140</v>
      </c>
    </row>
    <row r="7436" spans="1:4" x14ac:dyDescent="0.25">
      <c r="A7436" t="str">
        <f>T("   903210")</f>
        <v xml:space="preserve">   903210</v>
      </c>
      <c r="B7436" t="str">
        <f>T("   Thermostats pour la régulation ou le contrôle automatiques")</f>
        <v xml:space="preserve">   Thermostats pour la régulation ou le contrôle automatiques</v>
      </c>
      <c r="C7436">
        <v>2913</v>
      </c>
      <c r="D7436">
        <v>1</v>
      </c>
    </row>
    <row r="7437" spans="1:4" x14ac:dyDescent="0.25">
      <c r="A7437" t="str">
        <f>T("   903220")</f>
        <v xml:space="preserve">   903220</v>
      </c>
      <c r="B7437" t="str">
        <f>T("   Manostats [pressostats] (sauf les articles de robinetterie du n° 8481)")</f>
        <v xml:space="preserve">   Manostats [pressostats] (sauf les articles de robinetterie du n° 8481)</v>
      </c>
      <c r="C7437">
        <v>80684</v>
      </c>
      <c r="D7437">
        <v>18</v>
      </c>
    </row>
    <row r="7438" spans="1:4" x14ac:dyDescent="0.25">
      <c r="A7438" t="str">
        <f>T("   903289")</f>
        <v xml:space="preserve">   903289</v>
      </c>
      <c r="B7438" t="s">
        <v>508</v>
      </c>
      <c r="C7438">
        <v>157700478</v>
      </c>
      <c r="D7438">
        <v>9137</v>
      </c>
    </row>
    <row r="7439" spans="1:4" x14ac:dyDescent="0.25">
      <c r="A7439" t="str">
        <f>T("   940120")</f>
        <v xml:space="preserve">   940120</v>
      </c>
      <c r="B7439" t="str">
        <f>T("   Sièges pour véhicules automobiles")</f>
        <v xml:space="preserve">   Sièges pour véhicules automobiles</v>
      </c>
      <c r="C7439">
        <v>2084152</v>
      </c>
      <c r="D7439">
        <v>741</v>
      </c>
    </row>
    <row r="7440" spans="1:4" x14ac:dyDescent="0.25">
      <c r="A7440" t="str">
        <f>T("   940130")</f>
        <v xml:space="preserve">   940130</v>
      </c>
      <c r="B7440" t="str">
        <f>T("   Sièges pivotants, ajustables en hauteur (à l'excl. de ceux pour la médecine, la chirurgie, l'art dentaire ou vétérinaire, ainsi que des fauteuils pour salons de coiffure)")</f>
        <v xml:space="preserve">   Sièges pivotants, ajustables en hauteur (à l'excl. de ceux pour la médecine, la chirurgie, l'art dentaire ou vétérinaire, ainsi que des fauteuils pour salons de coiffure)</v>
      </c>
      <c r="C7440">
        <v>12924453</v>
      </c>
      <c r="D7440">
        <v>11365</v>
      </c>
    </row>
    <row r="7441" spans="1:4" x14ac:dyDescent="0.25">
      <c r="A7441" t="str">
        <f>T("   940140")</f>
        <v xml:space="preserve">   940140</v>
      </c>
      <c r="B7441" t="str">
        <f>T("   Sièges autres que le matériel de camping ou de jardin, transformables en lits (à l'excl. de ceux pour la médecine, l'art dentaire ou la chirurgie)")</f>
        <v xml:space="preserve">   Sièges autres que le matériel de camping ou de jardin, transformables en lits (à l'excl. de ceux pour la médecine, l'art dentaire ou la chirurgie)</v>
      </c>
      <c r="C7441">
        <v>393067</v>
      </c>
      <c r="D7441">
        <v>495</v>
      </c>
    </row>
    <row r="7442" spans="1:4" x14ac:dyDescent="0.25">
      <c r="A7442" t="str">
        <f>T("   940150")</f>
        <v xml:space="preserve">   940150</v>
      </c>
      <c r="B7442" t="str">
        <f>T("   Sièges en rotin, en osier, en bambou ou en matières simil.")</f>
        <v xml:space="preserve">   Sièges en rotin, en osier, en bambou ou en matières simil.</v>
      </c>
      <c r="C7442">
        <v>219064</v>
      </c>
      <c r="D7442">
        <v>150</v>
      </c>
    </row>
    <row r="7443" spans="1:4" x14ac:dyDescent="0.25">
      <c r="A7443" t="str">
        <f>T("   940161")</f>
        <v xml:space="preserve">   940161</v>
      </c>
      <c r="B7443" t="str">
        <f>T("   Sièges, avec bâti en bois, rembourrés (non transformables en lits)")</f>
        <v xml:space="preserve">   Sièges, avec bâti en bois, rembourrés (non transformables en lits)</v>
      </c>
      <c r="C7443">
        <v>60511412</v>
      </c>
      <c r="D7443">
        <v>38530</v>
      </c>
    </row>
    <row r="7444" spans="1:4" x14ac:dyDescent="0.25">
      <c r="A7444" t="str">
        <f>T("   940169")</f>
        <v xml:space="preserve">   940169</v>
      </c>
      <c r="B7444" t="str">
        <f>T("   Sièges, avec bâti en bois, non rembourrés")</f>
        <v xml:space="preserve">   Sièges, avec bâti en bois, non rembourrés</v>
      </c>
      <c r="C7444">
        <v>11777791</v>
      </c>
      <c r="D7444">
        <v>12744</v>
      </c>
    </row>
    <row r="7445" spans="1:4" x14ac:dyDescent="0.25">
      <c r="A7445" t="str">
        <f>T("   940171")</f>
        <v xml:space="preserve">   940171</v>
      </c>
      <c r="B7445" t="str">
        <f>T("   Sièges, avec bâti en métal, rembourrés (autres que pour véhicules aériens ou automobiles, autres que fauteuils pivotants ajustables en hauteur et autres que pour la médecine, l'art dentaire ou la chirurgie)")</f>
        <v xml:space="preserve">   Sièges, avec bâti en métal, rembourrés (autres que pour véhicules aériens ou automobiles, autres que fauteuils pivotants ajustables en hauteur et autres que pour la médecine, l'art dentaire ou la chirurgie)</v>
      </c>
      <c r="C7445">
        <v>7186688</v>
      </c>
      <c r="D7445">
        <v>5644</v>
      </c>
    </row>
    <row r="7446" spans="1:4" x14ac:dyDescent="0.25">
      <c r="A7446" t="str">
        <f>T("   940180")</f>
        <v xml:space="preserve">   940180</v>
      </c>
      <c r="B7446" t="str">
        <f>T("   Sièges, n.d.a.")</f>
        <v xml:space="preserve">   Sièges, n.d.a.</v>
      </c>
      <c r="C7446">
        <v>183100943</v>
      </c>
      <c r="D7446">
        <v>139190</v>
      </c>
    </row>
    <row r="7447" spans="1:4" x14ac:dyDescent="0.25">
      <c r="A7447" t="str">
        <f>T("   940190")</f>
        <v xml:space="preserve">   940190</v>
      </c>
      <c r="B7447" t="str">
        <f>T("   Parties de sièges, n.d.a.")</f>
        <v xml:space="preserve">   Parties de sièges, n.d.a.</v>
      </c>
      <c r="C7447">
        <v>2585063</v>
      </c>
      <c r="D7447">
        <v>2329</v>
      </c>
    </row>
    <row r="7448" spans="1:4" x14ac:dyDescent="0.25">
      <c r="A7448" t="str">
        <f>T("   940210")</f>
        <v xml:space="preserve">   940210</v>
      </c>
      <c r="B7448" t="str">
        <f>T("   Fauteuils de dentistes, fauteuils pour salons de coiffure et fauteuils simil., avec dispositif à la fois d'orientation et d'élévation, et leurs parties, n.d.a.")</f>
        <v xml:space="preserve">   Fauteuils de dentistes, fauteuils pour salons de coiffure et fauteuils simil., avec dispositif à la fois d'orientation et d'élévation, et leurs parties, n.d.a.</v>
      </c>
      <c r="C7448">
        <v>84363</v>
      </c>
      <c r="D7448">
        <v>75</v>
      </c>
    </row>
    <row r="7449" spans="1:4" x14ac:dyDescent="0.25">
      <c r="A7449" t="str">
        <f>T("   940290")</f>
        <v xml:space="preserve">   940290</v>
      </c>
      <c r="B7449" t="str">
        <f>T("   Tables d'opération, tables d'examen et autre mobilier pour la médecine, la chirurgie, l'art dentaire ou vétérinaire (sauf fauteuils de dentistes et autres sièges, tables d'examen radiographique, civières et brancards, y.c. chariots-brancards)")</f>
        <v xml:space="preserve">   Tables d'opération, tables d'examen et autre mobilier pour la médecine, la chirurgie, l'art dentaire ou vétérinaire (sauf fauteuils de dentistes et autres sièges, tables d'examen radiographique, civières et brancards, y.c. chariots-brancards)</v>
      </c>
      <c r="C7449">
        <v>23951715</v>
      </c>
      <c r="D7449">
        <v>10073</v>
      </c>
    </row>
    <row r="7450" spans="1:4" x14ac:dyDescent="0.25">
      <c r="A7450" t="str">
        <f>T("   940310")</f>
        <v xml:space="preserve">   940310</v>
      </c>
      <c r="B7450" t="str">
        <f>T("   Meubles de bureau en métal (sauf sièges)")</f>
        <v xml:space="preserve">   Meubles de bureau en métal (sauf sièges)</v>
      </c>
      <c r="C7450">
        <v>33919621</v>
      </c>
      <c r="D7450">
        <v>31636</v>
      </c>
    </row>
    <row r="7451" spans="1:4" x14ac:dyDescent="0.25">
      <c r="A7451" t="str">
        <f>T("   940320")</f>
        <v xml:space="preserve">   940320</v>
      </c>
      <c r="B7451"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7451">
        <v>6926052</v>
      </c>
      <c r="D7451">
        <v>5799</v>
      </c>
    </row>
    <row r="7452" spans="1:4" x14ac:dyDescent="0.25">
      <c r="A7452" t="str">
        <f>T("   940330")</f>
        <v xml:space="preserve">   940330</v>
      </c>
      <c r="B7452" t="str">
        <f>T("   Meubles de bureau en bois (sauf sièges)")</f>
        <v xml:space="preserve">   Meubles de bureau en bois (sauf sièges)</v>
      </c>
      <c r="C7452">
        <v>48304302</v>
      </c>
      <c r="D7452">
        <v>74144</v>
      </c>
    </row>
    <row r="7453" spans="1:4" x14ac:dyDescent="0.25">
      <c r="A7453" t="str">
        <f>T("   940340")</f>
        <v xml:space="preserve">   940340</v>
      </c>
      <c r="B7453" t="str">
        <f>T("   Meubles de cuisine, en bois (sauf sièges)")</f>
        <v xml:space="preserve">   Meubles de cuisine, en bois (sauf sièges)</v>
      </c>
      <c r="C7453">
        <v>2748580</v>
      </c>
      <c r="D7453">
        <v>4859</v>
      </c>
    </row>
    <row r="7454" spans="1:4" x14ac:dyDescent="0.25">
      <c r="A7454" t="str">
        <f>T("   940350")</f>
        <v xml:space="preserve">   940350</v>
      </c>
      <c r="B7454" t="str">
        <f>T("   Meubles pour chambres à coucher, en bois (sauf sièges)")</f>
        <v xml:space="preserve">   Meubles pour chambres à coucher, en bois (sauf sièges)</v>
      </c>
      <c r="C7454">
        <v>19795245</v>
      </c>
      <c r="D7454">
        <v>56400</v>
      </c>
    </row>
    <row r="7455" spans="1:4" x14ac:dyDescent="0.25">
      <c r="A7455" t="str">
        <f>T("   940360")</f>
        <v xml:space="preserve">   940360</v>
      </c>
      <c r="B7455" t="str">
        <f>T("   Meubles en bois (autres que pour bureaux, cuisines ou chambres à coucher et autres que sièges)")</f>
        <v xml:space="preserve">   Meubles en bois (autres que pour bureaux, cuisines ou chambres à coucher et autres que sièges)</v>
      </c>
      <c r="C7455">
        <v>63180438</v>
      </c>
      <c r="D7455">
        <v>112677</v>
      </c>
    </row>
    <row r="7456" spans="1:4" x14ac:dyDescent="0.25">
      <c r="A7456" t="str">
        <f>T("   940370")</f>
        <v xml:space="preserve">   940370</v>
      </c>
      <c r="B7456" t="str">
        <f>T("   Meubles en matières plastiques (autres que pour la médecine, l'art dentaire et vétérinaire, la chirurgie et autres que sièges)")</f>
        <v xml:space="preserve">   Meubles en matières plastiques (autres que pour la médecine, l'art dentaire et vétérinaire, la chirurgie et autres que sièges)</v>
      </c>
      <c r="C7456">
        <v>13405539</v>
      </c>
      <c r="D7456">
        <v>22831</v>
      </c>
    </row>
    <row r="7457" spans="1:4" x14ac:dyDescent="0.25">
      <c r="A7457" t="str">
        <f>T("   940380")</f>
        <v xml:space="preserve">   940380</v>
      </c>
      <c r="B7457" t="str">
        <f>T("   Meubles en rotin, osier, bambou ou autres matières (sauf métal, bois et matières plastiques)")</f>
        <v xml:space="preserve">   Meubles en rotin, osier, bambou ou autres matières (sauf métal, bois et matières plastiques)</v>
      </c>
      <c r="C7457">
        <v>52227529</v>
      </c>
      <c r="D7457">
        <v>70303</v>
      </c>
    </row>
    <row r="7458" spans="1:4" x14ac:dyDescent="0.25">
      <c r="A7458" t="str">
        <f>T("   940390")</f>
        <v xml:space="preserve">   940390</v>
      </c>
      <c r="B7458" t="str">
        <f>T("   PARTIES DE MEUBLES, N.D.A. (AUTRES QUE DE SIÈGES ET MOBILIER POUR LA MÉDECINE, L'ART DENTAIRE ET VÉTÉRINAIRE OU LA CHIRURGIE)")</f>
        <v xml:space="preserve">   PARTIES DE MEUBLES, N.D.A. (AUTRES QUE DE SIÈGES ET MOBILIER POUR LA MÉDECINE, L'ART DENTAIRE ET VÉTÉRINAIRE OU LA CHIRURGIE)</v>
      </c>
      <c r="C7458">
        <v>1826792</v>
      </c>
      <c r="D7458">
        <v>2710</v>
      </c>
    </row>
    <row r="7459" spans="1:4" x14ac:dyDescent="0.25">
      <c r="A7459" t="str">
        <f>T("   940410")</f>
        <v xml:space="preserve">   940410</v>
      </c>
      <c r="B7459" t="str">
        <f>T("   Sommiers (sauf ressorts pour sièges)")</f>
        <v xml:space="preserve">   Sommiers (sauf ressorts pour sièges)</v>
      </c>
      <c r="C7459">
        <v>599548</v>
      </c>
      <c r="D7459">
        <v>2570</v>
      </c>
    </row>
    <row r="7460" spans="1:4" x14ac:dyDescent="0.25">
      <c r="A7460" t="str">
        <f>T("   940429")</f>
        <v xml:space="preserve">   940429</v>
      </c>
      <c r="B7460" t="str">
        <f>T("   Matelas à ressorts ou rembourrés, ou garnis intérieurement de matières autres que le caoutchouc alvéolaire ou les matières plastiques alvéolaires (sauf matelas à eau, matelas pneumatiques et oreillers)")</f>
        <v xml:space="preserve">   Matelas à ressorts ou rembourrés, ou garnis intérieurement de matières autres que le caoutchouc alvéolaire ou les matières plastiques alvéolaires (sauf matelas à eau, matelas pneumatiques et oreillers)</v>
      </c>
      <c r="C7460">
        <v>2260439</v>
      </c>
      <c r="D7460">
        <v>4260</v>
      </c>
    </row>
    <row r="7461" spans="1:4" x14ac:dyDescent="0.25">
      <c r="A7461" t="str">
        <f>T("   940490")</f>
        <v xml:space="preserve">   940490</v>
      </c>
      <c r="B7461" t="s">
        <v>514</v>
      </c>
      <c r="C7461">
        <v>4546896</v>
      </c>
      <c r="D7461">
        <v>13143</v>
      </c>
    </row>
    <row r="7462" spans="1:4" x14ac:dyDescent="0.25">
      <c r="A7462" t="str">
        <f>T("   940510")</f>
        <v xml:space="preserve">   940510</v>
      </c>
      <c r="B7462" t="str">
        <f>T("   Lustres et autres appareils d'éclairage électrique à suspendre ou à fixer au plafond ou au mur (sauf pour l'éclairage des espaces et voies publiques)")</f>
        <v xml:space="preserve">   Lustres et autres appareils d'éclairage électrique à suspendre ou à fixer au plafond ou au mur (sauf pour l'éclairage des espaces et voies publiques)</v>
      </c>
      <c r="C7462">
        <v>9713773</v>
      </c>
      <c r="D7462">
        <v>16257</v>
      </c>
    </row>
    <row r="7463" spans="1:4" x14ac:dyDescent="0.25">
      <c r="A7463" t="str">
        <f>T("   940520")</f>
        <v xml:space="preserve">   940520</v>
      </c>
      <c r="B7463" t="str">
        <f>T("   Lampes de chevet, lampes de bureau et lampadaires d'intérieur, électriques")</f>
        <v xml:space="preserve">   Lampes de chevet, lampes de bureau et lampadaires d'intérieur, électriques</v>
      </c>
      <c r="C7463">
        <v>4470827</v>
      </c>
      <c r="D7463">
        <v>2970</v>
      </c>
    </row>
    <row r="7464" spans="1:4" x14ac:dyDescent="0.25">
      <c r="A7464" t="str">
        <f>T("   940530")</f>
        <v xml:space="preserve">   940530</v>
      </c>
      <c r="B7464" t="str">
        <f>T("   GUIRLANDES ÉLECTRIQUES POUR ARBRES DE NOÙL")</f>
        <v xml:space="preserve">   GUIRLANDES ÉLECTRIQUES POUR ARBRES DE NOÙL</v>
      </c>
      <c r="C7464">
        <v>2168100</v>
      </c>
      <c r="D7464">
        <v>870</v>
      </c>
    </row>
    <row r="7465" spans="1:4" x14ac:dyDescent="0.25">
      <c r="A7465" t="str">
        <f>T("   940540")</f>
        <v xml:space="preserve">   940540</v>
      </c>
      <c r="B7465" t="str">
        <f>T("   Appareils d'éclairage électrique, n.d.a.")</f>
        <v xml:space="preserve">   Appareils d'éclairage électrique, n.d.a.</v>
      </c>
      <c r="C7465">
        <v>770754</v>
      </c>
      <c r="D7465">
        <v>566</v>
      </c>
    </row>
    <row r="7466" spans="1:4" x14ac:dyDescent="0.25">
      <c r="A7466" t="str">
        <f>T("   940550")</f>
        <v xml:space="preserve">   940550</v>
      </c>
      <c r="B7466" t="str">
        <f>T("   Appareils d'éclairage non-électriques, n.d.a.")</f>
        <v xml:space="preserve">   Appareils d'éclairage non-électriques, n.d.a.</v>
      </c>
      <c r="C7466">
        <v>1104805</v>
      </c>
      <c r="D7466">
        <v>904</v>
      </c>
    </row>
    <row r="7467" spans="1:4" x14ac:dyDescent="0.25">
      <c r="A7467" t="str">
        <f>T("   940560")</f>
        <v xml:space="preserve">   940560</v>
      </c>
      <c r="B7467" t="str">
        <f>T("   Lampes-réclames, enseignes lumineuses, plaques indicatrices lumineuses et articles simil., possédant une source d'éclairage fixée à demeure")</f>
        <v xml:space="preserve">   Lampes-réclames, enseignes lumineuses, plaques indicatrices lumineuses et articles simil., possédant une source d'éclairage fixée à demeure</v>
      </c>
      <c r="C7467">
        <v>873739</v>
      </c>
      <c r="D7467">
        <v>846</v>
      </c>
    </row>
    <row r="7468" spans="1:4" x14ac:dyDescent="0.25">
      <c r="A7468" t="str">
        <f>T("   940599")</f>
        <v xml:space="preserve">   940599</v>
      </c>
      <c r="B7468" t="str">
        <f>T("   Parties d'appareils d'éclairage, de lampes-réclames, d'enseignes lumineuses, de plaques indicatrices lumineuses, et simil., n.d.a.")</f>
        <v xml:space="preserve">   Parties d'appareils d'éclairage, de lampes-réclames, d'enseignes lumineuses, de plaques indicatrices lumineuses, et simil., n.d.a.</v>
      </c>
      <c r="C7468">
        <v>511313</v>
      </c>
      <c r="D7468">
        <v>891</v>
      </c>
    </row>
    <row r="7469" spans="1:4" x14ac:dyDescent="0.25">
      <c r="A7469" t="str">
        <f>T("   940600")</f>
        <v xml:space="preserve">   940600</v>
      </c>
      <c r="B7469" t="str">
        <f>T("   Constructions préfabriquées, même incomplètes ou non encore montées")</f>
        <v xml:space="preserve">   Constructions préfabriquées, même incomplètes ou non encore montées</v>
      </c>
      <c r="C7469">
        <v>1967880</v>
      </c>
      <c r="D7469">
        <v>4800</v>
      </c>
    </row>
    <row r="7470" spans="1:4" x14ac:dyDescent="0.25">
      <c r="A7470" t="str">
        <f>T("   950100")</f>
        <v xml:space="preserve">   950100</v>
      </c>
      <c r="B7470" t="str">
        <f>T("   JOUETS À ROUES CONÇUS POUR ÊTRE MONTÉS PAR LES ENFANTS, P.EX. TRICYCLES, TROTTINETTES, AUTOS À PÉDALES (À L'EXCL. DES CYCLES HABITUELS AVEC ROULEMENT À BILLES); LANDAUS ET POUSSETTES POUR POUPÉES")</f>
        <v xml:space="preserve">   JOUETS À ROUES CONÇUS POUR ÊTRE MONTÉS PAR LES ENFANTS, P.EX. TRICYCLES, TROTTINETTES, AUTOS À PÉDALES (À L'EXCL. DES CYCLES HABITUELS AVEC ROULEMENT À BILLES); LANDAUS ET POUSSETTES POUR POUPÉES</v>
      </c>
      <c r="C7470">
        <v>873129</v>
      </c>
      <c r="D7470">
        <v>180</v>
      </c>
    </row>
    <row r="7471" spans="1:4" x14ac:dyDescent="0.25">
      <c r="A7471" t="str">
        <f>T("   950210")</f>
        <v xml:space="preserve">   950210</v>
      </c>
      <c r="B7471" t="str">
        <f>T("   Poupées représentant uniquement l'être humain, habillées ou non")</f>
        <v xml:space="preserve">   Poupées représentant uniquement l'être humain, habillées ou non</v>
      </c>
      <c r="C7471">
        <v>3713597</v>
      </c>
      <c r="D7471">
        <v>3210</v>
      </c>
    </row>
    <row r="7472" spans="1:4" x14ac:dyDescent="0.25">
      <c r="A7472" t="str">
        <f>T("   950291")</f>
        <v xml:space="preserve">   950291</v>
      </c>
      <c r="B7472" t="str">
        <f>T("   Vêtements et leurs accessoires, chaussures et chapeaux, pour poupées représentant uniquement l'être humain")</f>
        <v xml:space="preserve">   Vêtements et leurs accessoires, chaussures et chapeaux, pour poupées représentant uniquement l'être humain</v>
      </c>
      <c r="C7472">
        <v>104978</v>
      </c>
      <c r="D7472">
        <v>85</v>
      </c>
    </row>
    <row r="7473" spans="1:4" x14ac:dyDescent="0.25">
      <c r="A7473" t="str">
        <f>T("   950299")</f>
        <v xml:space="preserve">   950299</v>
      </c>
      <c r="B7473" t="str">
        <f>T("   Parties et accessoires pour poupées représentant uniquement l'être humain, n.d.a.")</f>
        <v xml:space="preserve">   Parties et accessoires pour poupées représentant uniquement l'être humain, n.d.a.</v>
      </c>
      <c r="C7473">
        <v>295182</v>
      </c>
      <c r="D7473">
        <v>580</v>
      </c>
    </row>
    <row r="7474" spans="1:4" x14ac:dyDescent="0.25">
      <c r="A7474" t="str">
        <f>T("   950320")</f>
        <v xml:space="preserve">   950320</v>
      </c>
      <c r="B7474" t="str">
        <f>T("   Modèles réduits, animés ou non, à assembler (sauf trains électriques, y.c. les rails, signaux et autres accessoires)")</f>
        <v xml:space="preserve">   Modèles réduits, animés ou non, à assembler (sauf trains électriques, y.c. les rails, signaux et autres accessoires)</v>
      </c>
      <c r="C7474">
        <v>3085576</v>
      </c>
      <c r="D7474">
        <v>2497</v>
      </c>
    </row>
    <row r="7475" spans="1:4" x14ac:dyDescent="0.25">
      <c r="A7475" t="str">
        <f>T("   950349")</f>
        <v xml:space="preserve">   950349</v>
      </c>
      <c r="B7475" t="str">
        <f>T("   JOUETS REPRÉSENTANT DES ANIMAUX OU DES CRÉATURES NON-HUMAINES, NON-REMBOURRÉS")</f>
        <v xml:space="preserve">   JOUETS REPRÉSENTANT DES ANIMAUX OU DES CRÉATURES NON-HUMAINES, NON-REMBOURRÉS</v>
      </c>
      <c r="C7475">
        <v>60878</v>
      </c>
      <c r="D7475">
        <v>53</v>
      </c>
    </row>
    <row r="7476" spans="1:4" x14ac:dyDescent="0.25">
      <c r="A7476" t="str">
        <f>T("   950350")</f>
        <v xml:space="preserve">   950350</v>
      </c>
      <c r="B7476" t="str">
        <f>T("   INSTRUMENTS ET APPAREILS DE MUSIQUE-JOUETS")</f>
        <v xml:space="preserve">   INSTRUMENTS ET APPAREILS DE MUSIQUE-JOUETS</v>
      </c>
      <c r="C7476">
        <v>186946</v>
      </c>
      <c r="D7476">
        <v>240</v>
      </c>
    </row>
    <row r="7477" spans="1:4" x14ac:dyDescent="0.25">
      <c r="A7477" t="str">
        <f>T("   950360")</f>
        <v xml:space="preserve">   950360</v>
      </c>
      <c r="B7477" t="str">
        <f>T("   PUZZLES")</f>
        <v xml:space="preserve">   PUZZLES</v>
      </c>
      <c r="C7477">
        <v>238236</v>
      </c>
      <c r="D7477">
        <v>94</v>
      </c>
    </row>
    <row r="7478" spans="1:4" x14ac:dyDescent="0.25">
      <c r="A7478" t="str">
        <f>T("   950370")</f>
        <v xml:space="preserve">   950370</v>
      </c>
      <c r="B7478" t="str">
        <f>T("   Jouets présentés en assortiments ou en panoplies (sauf trains électriques, y.c. accessoires, sauf modèles réduits à assembler, cubes et jeux de construction et puzzles)")</f>
        <v xml:space="preserve">   Jouets présentés en assortiments ou en panoplies (sauf trains électriques, y.c. accessoires, sauf modèles réduits à assembler, cubes et jeux de construction et puzzles)</v>
      </c>
      <c r="C7478">
        <v>2282664</v>
      </c>
      <c r="D7478">
        <v>1848</v>
      </c>
    </row>
    <row r="7479" spans="1:4" x14ac:dyDescent="0.25">
      <c r="A7479" t="str">
        <f>T("   950380")</f>
        <v xml:space="preserve">   950380</v>
      </c>
      <c r="B7479" t="str">
        <f>T("   JOUETS ET MODÈLES, À MOTEUR (SAUF TRAINS ÉLECTRIQUES, Y.C. LES ACCESSOIRES, SAUF MODÈLES RÉDUITS À ASSEMBLER, JOUETS REPRÉSENTANT DES ANIMAUX OU DES CRÉATURES NON-HUMAINES)")</f>
        <v xml:space="preserve">   JOUETS ET MODÈLES, À MOTEUR (SAUF TRAINS ÉLECTRIQUES, Y.C. LES ACCESSOIRES, SAUF MODÈLES RÉDUITS À ASSEMBLER, JOUETS REPRÉSENTANT DES ANIMAUX OU DES CRÉATURES NON-HUMAINES)</v>
      </c>
      <c r="C7479">
        <v>348387</v>
      </c>
      <c r="D7479">
        <v>210</v>
      </c>
    </row>
    <row r="7480" spans="1:4" x14ac:dyDescent="0.25">
      <c r="A7480" t="str">
        <f>T("   950390")</f>
        <v xml:space="preserve">   950390</v>
      </c>
      <c r="B7480" t="str">
        <f>T("   Jouets, n.d.a.")</f>
        <v xml:space="preserve">   Jouets, n.d.a.</v>
      </c>
      <c r="C7480">
        <v>17186738</v>
      </c>
      <c r="D7480">
        <v>10449</v>
      </c>
    </row>
    <row r="7481" spans="1:4" x14ac:dyDescent="0.25">
      <c r="A7481" t="str">
        <f>T("   950490")</f>
        <v xml:space="preserve">   950490</v>
      </c>
      <c r="B7481" t="s">
        <v>516</v>
      </c>
      <c r="C7481">
        <v>1599558</v>
      </c>
      <c r="D7481">
        <v>142.5</v>
      </c>
    </row>
    <row r="7482" spans="1:4" x14ac:dyDescent="0.25">
      <c r="A7482" t="str">
        <f>T("   950510")</f>
        <v xml:space="preserve">   950510</v>
      </c>
      <c r="B7482" t="str">
        <f>T("   Articles pour fêtes de Noël (sauf bougies et guirlandes électriques)")</f>
        <v xml:space="preserve">   Articles pour fêtes de Noël (sauf bougies et guirlandes électriques)</v>
      </c>
      <c r="C7482">
        <v>6607165</v>
      </c>
      <c r="D7482">
        <v>7415</v>
      </c>
    </row>
    <row r="7483" spans="1:4" x14ac:dyDescent="0.25">
      <c r="A7483" t="str">
        <f>T("   950590")</f>
        <v xml:space="preserve">   950590</v>
      </c>
      <c r="B7483" t="str">
        <f>T("   Articles pour fêtes, carnaval ou autres divertissements, y.c. les articles de magie et articles-surprises, n.d.a.")</f>
        <v xml:space="preserve">   Articles pour fêtes, carnaval ou autres divertissements, y.c. les articles de magie et articles-surprises, n.d.a.</v>
      </c>
      <c r="C7483">
        <v>259104</v>
      </c>
      <c r="D7483">
        <v>352</v>
      </c>
    </row>
    <row r="7484" spans="1:4" x14ac:dyDescent="0.25">
      <c r="A7484" t="str">
        <f>T("   950629")</f>
        <v xml:space="preserve">   950629</v>
      </c>
      <c r="B7484" t="str">
        <f>T("   SKIS NAUTIQUES, AQUAPLANES ET AUTRE MATÉRIEL POUR LA PRATIQUE DES SPORTS NAUTIQUES (À L'EXCL. DES PLANCHES À VOILE) [01/01/1988-31/12/1994: SKIS NAUTIQUES, AQUAPLANES ET AUTRE MATERIEL POUR LES SPORTS NAUTIQUES, SAUF PLANCHES A VOILE]")</f>
        <v xml:space="preserve">   SKIS NAUTIQUES, AQUAPLANES ET AUTRE MATÉRIEL POUR LA PRATIQUE DES SPORTS NAUTIQUES (À L'EXCL. DES PLANCHES À VOILE) [01/01/1988-31/12/1994: SKIS NAUTIQUES, AQUAPLANES ET AUTRE MATERIEL POUR LES SPORTS NAUTIQUES, SAUF PLANCHES A VOILE]</v>
      </c>
      <c r="C7484">
        <v>1773059</v>
      </c>
      <c r="D7484">
        <v>1897</v>
      </c>
    </row>
    <row r="7485" spans="1:4" x14ac:dyDescent="0.25">
      <c r="A7485" t="str">
        <f>T("   950662")</f>
        <v xml:space="preserve">   950662</v>
      </c>
      <c r="B7485" t="str">
        <f>T("   Ballons et balles gonflables")</f>
        <v xml:space="preserve">   Ballons et balles gonflables</v>
      </c>
      <c r="C7485">
        <v>522602</v>
      </c>
      <c r="D7485">
        <v>1023</v>
      </c>
    </row>
    <row r="7486" spans="1:4" x14ac:dyDescent="0.25">
      <c r="A7486" t="str">
        <f>T("   950669")</f>
        <v xml:space="preserve">   950669</v>
      </c>
      <c r="B7486" t="str">
        <f>T("   Ballons et balles (autres que gonflables et autres que balles de golf ou de tennis de table)")</f>
        <v xml:space="preserve">   Ballons et balles (autres que gonflables et autres que balles de golf ou de tennis de table)</v>
      </c>
      <c r="C7486">
        <v>368069</v>
      </c>
      <c r="D7486">
        <v>370</v>
      </c>
    </row>
    <row r="7487" spans="1:4" x14ac:dyDescent="0.25">
      <c r="A7487" t="str">
        <f>T("   950691")</f>
        <v xml:space="preserve">   950691</v>
      </c>
      <c r="B7487" t="str">
        <f>T("   Articles et matériel pour la culture physique, la gymnastique ou l'athlétisme")</f>
        <v xml:space="preserve">   Articles et matériel pour la culture physique, la gymnastique ou l'athlétisme</v>
      </c>
      <c r="C7487">
        <v>1250624</v>
      </c>
      <c r="D7487">
        <v>1686</v>
      </c>
    </row>
    <row r="7488" spans="1:4" x14ac:dyDescent="0.25">
      <c r="A7488" t="str">
        <f>T("   950699")</f>
        <v xml:space="preserve">   950699</v>
      </c>
      <c r="B7488" t="str">
        <f>T("   Articles et matériel pour le sport et les jeux de plein air, n.d.a.; piscines et pataugeoires")</f>
        <v xml:space="preserve">   Articles et matériel pour le sport et les jeux de plein air, n.d.a.; piscines et pataugeoires</v>
      </c>
      <c r="C7488">
        <v>130641</v>
      </c>
      <c r="D7488">
        <v>115</v>
      </c>
    </row>
    <row r="7489" spans="1:4" x14ac:dyDescent="0.25">
      <c r="A7489" t="str">
        <f>T("   960390")</f>
        <v xml:space="preserve">   960390</v>
      </c>
      <c r="B7489" t="str">
        <f>T("   ARTICLES DE BROSSERIE (SAUF DU N° 9603.10 À 9603.50), P.EX. TÊTES PRÉPARÉES POUR ARTICLES DE BROSSERIE ET RACLETTES EN CAOUTCHOUC OU EN MATIÈRES SOUPLES ANALOGUES")</f>
        <v xml:space="preserve">   ARTICLES DE BROSSERIE (SAUF DU N° 9603.10 À 9603.50), P.EX. TÊTES PRÉPARÉES POUR ARTICLES DE BROSSERIE ET RACLETTES EN CAOUTCHOUC OU EN MATIÈRES SOUPLES ANALOGUES</v>
      </c>
      <c r="C7489">
        <v>9287935</v>
      </c>
      <c r="D7489">
        <v>4901</v>
      </c>
    </row>
    <row r="7490" spans="1:4" x14ac:dyDescent="0.25">
      <c r="A7490" t="str">
        <f>T("   960810")</f>
        <v xml:space="preserve">   960810</v>
      </c>
      <c r="B7490" t="str">
        <f>T("   Stylos et crayons à bille")</f>
        <v xml:space="preserve">   Stylos et crayons à bille</v>
      </c>
      <c r="C7490">
        <v>1817665</v>
      </c>
      <c r="D7490">
        <v>240</v>
      </c>
    </row>
    <row r="7491" spans="1:4" x14ac:dyDescent="0.25">
      <c r="A7491" t="str">
        <f>T("   960850")</f>
        <v xml:space="preserve">   960850</v>
      </c>
      <c r="B7491" t="str">
        <f>T("   Assortiments d'articles relevant d'au moins deux des produits suivants stylos et crayons à billes, stylos et marqueurs à pointe fibre ou à mèche feutre, porte-plume et porte-mine")</f>
        <v xml:space="preserve">   Assortiments d'articles relevant d'au moins deux des produits suivants stylos et crayons à billes, stylos et marqueurs à pointe fibre ou à mèche feutre, porte-plume et porte-mine</v>
      </c>
      <c r="C7491">
        <v>1994240</v>
      </c>
      <c r="D7491">
        <v>874</v>
      </c>
    </row>
    <row r="7492" spans="1:4" x14ac:dyDescent="0.25">
      <c r="A7492" t="str">
        <f>T("   960899")</f>
        <v xml:space="preserve">   960899</v>
      </c>
      <c r="B7492" t="str">
        <f>T("   PARTIES DE STYLOS ET CRAYONS À BILLE, STYLOS ET MARQUEURS À MÈCHE FEUTRE OU À AUTRES POINTES POREUSES, STYLOS ET PORTE-MINE, N.D.A.; PORTE-PLUME, PORTE-CRAYON ET ARTICLES SIMIL., STYLETS POUR DUPLICATEURS")</f>
        <v xml:space="preserve">   PARTIES DE STYLOS ET CRAYONS À BILLE, STYLOS ET MARQUEURS À MÈCHE FEUTRE OU À AUTRES POINTES POREUSES, STYLOS ET PORTE-MINE, N.D.A.; PORTE-PLUME, PORTE-CRAYON ET ARTICLES SIMIL., STYLETS POUR DUPLICATEURS</v>
      </c>
      <c r="C7492">
        <v>73927</v>
      </c>
      <c r="D7492">
        <v>50</v>
      </c>
    </row>
    <row r="7493" spans="1:4" x14ac:dyDescent="0.25">
      <c r="A7493" t="str">
        <f>T("   961000")</f>
        <v xml:space="preserve">   961000</v>
      </c>
      <c r="B7493" t="str">
        <f>T("   Ardoises et tableaux pour l'écriture ou le dessin, même encadrés")</f>
        <v xml:space="preserve">   Ardoises et tableaux pour l'écriture ou le dessin, même encadrés</v>
      </c>
      <c r="C7493">
        <v>162020</v>
      </c>
      <c r="D7493">
        <v>130</v>
      </c>
    </row>
    <row r="7494" spans="1:4" x14ac:dyDescent="0.25">
      <c r="A7494" t="str">
        <f>T("   961700")</f>
        <v xml:space="preserve">   961700</v>
      </c>
      <c r="B7494" t="str">
        <f>T("   Bouteilles isolantes et autres récipients isothermiques montés, dont l'isolation est assurée par le vide, ainsi que leurs parties (à l'excl. des ampoules en verre)")</f>
        <v xml:space="preserve">   Bouteilles isolantes et autres récipients isothermiques montés, dont l'isolation est assurée par le vide, ainsi que leurs parties (à l'excl. des ampoules en verre)</v>
      </c>
      <c r="C7494">
        <v>55757</v>
      </c>
      <c r="D7494">
        <v>12</v>
      </c>
    </row>
    <row r="7495" spans="1:4" x14ac:dyDescent="0.25">
      <c r="A7495" t="str">
        <f>T("   970110")</f>
        <v xml:space="preserve">   970110</v>
      </c>
      <c r="B7495" t="str">
        <f>T("   Tableaux, p.ex. peintures à l'huile, aquarelles et pastels, et dessins, faits entièrement à la main (à l'excl. des dessins du n° 4906 et des articles manufacturés décorés à la main)")</f>
        <v xml:space="preserve">   Tableaux, p.ex. peintures à l'huile, aquarelles et pastels, et dessins, faits entièrement à la main (à l'excl. des dessins du n° 4906 et des articles manufacturés décorés à la main)</v>
      </c>
      <c r="C7495">
        <v>653834</v>
      </c>
      <c r="D7495">
        <v>397</v>
      </c>
    </row>
    <row r="7496" spans="1:4" x14ac:dyDescent="0.25">
      <c r="A7496" t="str">
        <f>T("   970300")</f>
        <v xml:space="preserve">   970300</v>
      </c>
      <c r="B7496" t="str">
        <f>T("   Productions originales de l'art statuaire ou de la sculpture, en toutes matières")</f>
        <v xml:space="preserve">   Productions originales de l'art statuaire ou de la sculpture, en toutes matières</v>
      </c>
      <c r="C7496">
        <v>800271</v>
      </c>
      <c r="D7496">
        <v>2300</v>
      </c>
    </row>
    <row r="7497" spans="1:4" x14ac:dyDescent="0.25">
      <c r="A7497" t="str">
        <f>T("JM")</f>
        <v>JM</v>
      </c>
      <c r="B7497" t="str">
        <f>T("Jamaïque")</f>
        <v>Jamaïque</v>
      </c>
    </row>
    <row r="7498" spans="1:4" x14ac:dyDescent="0.25">
      <c r="A7498" t="str">
        <f>T("   ZZ_Total_Produit_SH6")</f>
        <v xml:space="preserve">   ZZ_Total_Produit_SH6</v>
      </c>
      <c r="B7498" t="str">
        <f>T("   ZZ_Total_Produit_SH6")</f>
        <v xml:space="preserve">   ZZ_Total_Produit_SH6</v>
      </c>
      <c r="C7498">
        <v>633300</v>
      </c>
      <c r="D7498">
        <v>222</v>
      </c>
    </row>
    <row r="7499" spans="1:4" x14ac:dyDescent="0.25">
      <c r="A7499" t="str">
        <f>T("   490199")</f>
        <v xml:space="preserve">   490199</v>
      </c>
      <c r="B7499"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7499">
        <v>211100</v>
      </c>
      <c r="D7499">
        <v>72</v>
      </c>
    </row>
    <row r="7500" spans="1:4" x14ac:dyDescent="0.25">
      <c r="A7500" t="str">
        <f>T("   621040")</f>
        <v xml:space="preserve">   621040</v>
      </c>
      <c r="B7500" t="s">
        <v>271</v>
      </c>
      <c r="C7500">
        <v>422200</v>
      </c>
      <c r="D7500">
        <v>150</v>
      </c>
    </row>
    <row r="7501" spans="1:4" x14ac:dyDescent="0.25">
      <c r="A7501" t="str">
        <f>T("JO")</f>
        <v>JO</v>
      </c>
      <c r="B7501" t="str">
        <f>T("Jordanie")</f>
        <v>Jordanie</v>
      </c>
    </row>
    <row r="7502" spans="1:4" x14ac:dyDescent="0.25">
      <c r="A7502" t="str">
        <f>T("   ZZ_Total_Produit_SH6")</f>
        <v xml:space="preserve">   ZZ_Total_Produit_SH6</v>
      </c>
      <c r="B7502" t="str">
        <f>T("   ZZ_Total_Produit_SH6")</f>
        <v xml:space="preserve">   ZZ_Total_Produit_SH6</v>
      </c>
      <c r="C7502">
        <v>10106270</v>
      </c>
      <c r="D7502">
        <v>26112</v>
      </c>
    </row>
    <row r="7503" spans="1:4" x14ac:dyDescent="0.25">
      <c r="A7503" t="str">
        <f>T("   300220")</f>
        <v xml:space="preserve">   300220</v>
      </c>
      <c r="B7503" t="str">
        <f>T("   Vaccins pour la médecine humaine")</f>
        <v xml:space="preserve">   Vaccins pour la médecine humaine</v>
      </c>
      <c r="C7503">
        <v>2012743</v>
      </c>
      <c r="D7503">
        <v>70</v>
      </c>
    </row>
    <row r="7504" spans="1:4" x14ac:dyDescent="0.25">
      <c r="A7504" t="str">
        <f>T("   382200")</f>
        <v xml:space="preserve">   382200</v>
      </c>
      <c r="B7504" t="s">
        <v>126</v>
      </c>
      <c r="C7504">
        <v>1151782</v>
      </c>
      <c r="D7504">
        <v>37</v>
      </c>
    </row>
    <row r="7505" spans="1:4" x14ac:dyDescent="0.25">
      <c r="A7505" t="str">
        <f>T("   490199")</f>
        <v xml:space="preserve">   490199</v>
      </c>
      <c r="B7505"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7505">
        <v>719025</v>
      </c>
      <c r="D7505">
        <v>1255</v>
      </c>
    </row>
    <row r="7506" spans="1:4" x14ac:dyDescent="0.25">
      <c r="A7506" t="str">
        <f>T("   960990")</f>
        <v xml:space="preserve">   960990</v>
      </c>
      <c r="B7506" t="str">
        <f>T("   Crayons (sauf crayons à gaine), pastels, fusains, craies à écrire ou à dessiner et craies de tailleurs")</f>
        <v xml:space="preserve">   Crayons (sauf crayons à gaine), pastels, fusains, craies à écrire ou à dessiner et craies de tailleurs</v>
      </c>
      <c r="C7506">
        <v>6222720</v>
      </c>
      <c r="D7506">
        <v>24750</v>
      </c>
    </row>
    <row r="7507" spans="1:4" x14ac:dyDescent="0.25">
      <c r="A7507" t="str">
        <f>T("JP")</f>
        <v>JP</v>
      </c>
      <c r="B7507" t="str">
        <f>T("Japon")</f>
        <v>Japon</v>
      </c>
    </row>
    <row r="7508" spans="1:4" x14ac:dyDescent="0.25">
      <c r="A7508" t="str">
        <f>T("   ZZ_Total_Produit_SH6")</f>
        <v xml:space="preserve">   ZZ_Total_Produit_SH6</v>
      </c>
      <c r="B7508" t="str">
        <f>T("   ZZ_Total_Produit_SH6")</f>
        <v xml:space="preserve">   ZZ_Total_Produit_SH6</v>
      </c>
      <c r="C7508">
        <v>12658172851.290001</v>
      </c>
      <c r="D7508">
        <v>173577082.90000001</v>
      </c>
    </row>
    <row r="7509" spans="1:4" x14ac:dyDescent="0.25">
      <c r="A7509" t="str">
        <f>T("   100630")</f>
        <v xml:space="preserve">   100630</v>
      </c>
      <c r="B7509" t="str">
        <f>T("   Riz semi-blanchi ou blanchi, même poli ou glacé")</f>
        <v xml:space="preserve">   Riz semi-blanchi ou blanchi, même poli ou glacé</v>
      </c>
      <c r="C7509">
        <v>3388676159.29</v>
      </c>
      <c r="D7509">
        <v>12104520</v>
      </c>
    </row>
    <row r="7510" spans="1:4" x14ac:dyDescent="0.25">
      <c r="A7510" t="str">
        <f>T("   252310")</f>
        <v xml:space="preserve">   252310</v>
      </c>
      <c r="B7510" t="str">
        <f>T("   Ciments non pulvérisés dits 'clinkers'")</f>
        <v xml:space="preserve">   Ciments non pulvérisés dits 'clinkers'</v>
      </c>
      <c r="C7510">
        <v>4762920000</v>
      </c>
      <c r="D7510">
        <v>158764000</v>
      </c>
    </row>
    <row r="7511" spans="1:4" x14ac:dyDescent="0.25">
      <c r="A7511" t="str">
        <f>T("   382200")</f>
        <v xml:space="preserve">   382200</v>
      </c>
      <c r="B7511" t="s">
        <v>126</v>
      </c>
      <c r="C7511">
        <v>176828450</v>
      </c>
      <c r="D7511">
        <v>792</v>
      </c>
    </row>
    <row r="7512" spans="1:4" x14ac:dyDescent="0.25">
      <c r="A7512" t="str">
        <f>T("   400911")</f>
        <v xml:space="preserve">   400911</v>
      </c>
      <c r="B7512" t="str">
        <f>T("   Tubes et tuyaux en caoutchouc vulcanisé non durci, non renforcés à l'aide d'autres matières ni autrement associés à d'autres matières, sans accessoires")</f>
        <v xml:space="preserve">   Tubes et tuyaux en caoutchouc vulcanisé non durci, non renforcés à l'aide d'autres matières ni autrement associés à d'autres matières, sans accessoires</v>
      </c>
      <c r="C7512">
        <v>789776</v>
      </c>
      <c r="D7512">
        <v>18</v>
      </c>
    </row>
    <row r="7513" spans="1:4" x14ac:dyDescent="0.25">
      <c r="A7513" t="str">
        <f>T("   401110")</f>
        <v xml:space="preserve">   401110</v>
      </c>
      <c r="B7513"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7513">
        <v>69608117</v>
      </c>
      <c r="D7513">
        <v>33030</v>
      </c>
    </row>
    <row r="7514" spans="1:4" x14ac:dyDescent="0.25">
      <c r="A7514" t="str">
        <f>T("   401120")</f>
        <v xml:space="preserve">   401120</v>
      </c>
      <c r="B7514"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7514">
        <v>5977934</v>
      </c>
      <c r="D7514">
        <v>3448</v>
      </c>
    </row>
    <row r="7515" spans="1:4" x14ac:dyDescent="0.25">
      <c r="A7515" t="str">
        <f>T("   401220")</f>
        <v xml:space="preserve">   401220</v>
      </c>
      <c r="B7515" t="str">
        <f>T("   Pneumatiques usagés, en caoutchouc")</f>
        <v xml:space="preserve">   Pneumatiques usagés, en caoutchouc</v>
      </c>
      <c r="C7515">
        <v>18504319</v>
      </c>
      <c r="D7515">
        <v>38843</v>
      </c>
    </row>
    <row r="7516" spans="1:4" x14ac:dyDescent="0.25">
      <c r="A7516" t="str">
        <f>T("   401310")</f>
        <v xml:space="preserve">   401310</v>
      </c>
      <c r="B7516" t="str">
        <f>T("   Chambres à air, en caoutchouc, des types utilisés pour les voitures de tourisme [y.c. les voitures du type 'break' et les voitures de course], les autobus ou les camions")</f>
        <v xml:space="preserve">   Chambres à air, en caoutchouc, des types utilisés pour les voitures de tourisme [y.c. les voitures du type 'break' et les voitures de course], les autobus ou les camions</v>
      </c>
      <c r="C7516">
        <v>20000</v>
      </c>
      <c r="D7516">
        <v>5</v>
      </c>
    </row>
    <row r="7517" spans="1:4" x14ac:dyDescent="0.25">
      <c r="A7517" t="str">
        <f>T("   401693")</f>
        <v xml:space="preserve">   401693</v>
      </c>
      <c r="B7517" t="str">
        <f>T("   Joints en caoutchouc vulcanisé non durci (à l'excl. des articles en caoutchouc alvéolaire)")</f>
        <v xml:space="preserve">   Joints en caoutchouc vulcanisé non durci (à l'excl. des articles en caoutchouc alvéolaire)</v>
      </c>
      <c r="C7517">
        <v>232210</v>
      </c>
      <c r="D7517">
        <v>5</v>
      </c>
    </row>
    <row r="7518" spans="1:4" x14ac:dyDescent="0.25">
      <c r="A7518" t="str">
        <f>T("   401699")</f>
        <v xml:space="preserve">   401699</v>
      </c>
      <c r="B7518" t="str">
        <f>T("   OUVRAGES EN CAOUTCHOUC VULCANISÉ NON-DURCI, N.D.A.")</f>
        <v xml:space="preserve">   OUVRAGES EN CAOUTCHOUC VULCANISÉ NON-DURCI, N.D.A.</v>
      </c>
      <c r="C7518">
        <v>73260</v>
      </c>
      <c r="D7518">
        <v>59</v>
      </c>
    </row>
    <row r="7519" spans="1:4" x14ac:dyDescent="0.25">
      <c r="A7519" t="str">
        <f>T("   440920")</f>
        <v xml:space="preserve">   440920</v>
      </c>
      <c r="B7519" t="s">
        <v>173</v>
      </c>
      <c r="C7519">
        <v>5000</v>
      </c>
      <c r="D7519">
        <v>3</v>
      </c>
    </row>
    <row r="7520" spans="1:4" x14ac:dyDescent="0.25">
      <c r="A7520" t="str">
        <f>T("   491110")</f>
        <v xml:space="preserve">   491110</v>
      </c>
      <c r="B7520" t="str">
        <f>T("   Imprimés publicitaires, catalogues commerciaux et simil.")</f>
        <v xml:space="preserve">   Imprimés publicitaires, catalogues commerciaux et simil.</v>
      </c>
      <c r="C7520">
        <v>1227412</v>
      </c>
      <c r="D7520">
        <v>55</v>
      </c>
    </row>
    <row r="7521" spans="1:4" x14ac:dyDescent="0.25">
      <c r="A7521" t="str">
        <f>T("   491191")</f>
        <v xml:space="preserve">   491191</v>
      </c>
      <c r="B7521" t="str">
        <f>T("   Images, gravures et photographies, n.d.a.")</f>
        <v xml:space="preserve">   Images, gravures et photographies, n.d.a.</v>
      </c>
      <c r="C7521">
        <v>19000</v>
      </c>
      <c r="D7521">
        <v>11</v>
      </c>
    </row>
    <row r="7522" spans="1:4" x14ac:dyDescent="0.25">
      <c r="A7522" t="str">
        <f>T("   630533")</f>
        <v xml:space="preserve">   630533</v>
      </c>
      <c r="B7522" t="str">
        <f>T("   Sacs et sachets d'emballage obtenus à partir de lames ou formes simil., de polyéthylène ou polypropylène (à l'excl. des contenants souples pour matières en vrac)")</f>
        <v xml:space="preserve">   Sacs et sachets d'emballage obtenus à partir de lames ou formes simil., de polyéthylène ou polypropylène (à l'excl. des contenants souples pour matières en vrac)</v>
      </c>
      <c r="C7522">
        <v>2046474</v>
      </c>
      <c r="D7522">
        <v>82</v>
      </c>
    </row>
    <row r="7523" spans="1:4" x14ac:dyDescent="0.25">
      <c r="A7523" t="str">
        <f>T("   630900")</f>
        <v xml:space="preserve">   630900</v>
      </c>
      <c r="B7523" t="s">
        <v>278</v>
      </c>
      <c r="C7523">
        <v>444369650</v>
      </c>
      <c r="D7523">
        <v>927618</v>
      </c>
    </row>
    <row r="7524" spans="1:4" x14ac:dyDescent="0.25">
      <c r="A7524" t="str">
        <f>T("   631090")</f>
        <v xml:space="preserve">   631090</v>
      </c>
      <c r="B7524" t="str">
        <f>T("   Chiffons en tous types de matières textiles ainsi que ficelles, cordes et cordages et articles composés de ceux-ci, de matières textiles, sous forme de déchets ou d'articles hors d'usage, non triés")</f>
        <v xml:space="preserve">   Chiffons en tous types de matières textiles ainsi que ficelles, cordes et cordages et articles composés de ceux-ci, de matières textiles, sous forme de déchets ou d'articles hors d'usage, non triés</v>
      </c>
      <c r="C7524">
        <v>250000</v>
      </c>
      <c r="D7524">
        <v>1863</v>
      </c>
    </row>
    <row r="7525" spans="1:4" x14ac:dyDescent="0.25">
      <c r="A7525" t="str">
        <f>T("   700910")</f>
        <v xml:space="preserve">   700910</v>
      </c>
      <c r="B7525" t="str">
        <f>T("   Miroirs rétroviseurs en verre, même encadrés, pour véhicules")</f>
        <v xml:space="preserve">   Miroirs rétroviseurs en verre, même encadrés, pour véhicules</v>
      </c>
      <c r="C7525">
        <v>51165</v>
      </c>
      <c r="D7525">
        <v>1</v>
      </c>
    </row>
    <row r="7526" spans="1:4" x14ac:dyDescent="0.25">
      <c r="A7526" t="str">
        <f>T("   721049")</f>
        <v xml:space="preserve">   721049</v>
      </c>
      <c r="B7526" t="str">
        <f>T("   Produits laminés plats, en fer ou en aciers non alliés, d'une largeur &gt;= 600 mm, laminés à chaud ou à froid, zingués, non ondulés (à l'excl. des produits zingués électrolytiquement)")</f>
        <v xml:space="preserve">   Produits laminés plats, en fer ou en aciers non alliés, d'une largeur &gt;= 600 mm, laminés à chaud ou à froid, zingués, non ondulés (à l'excl. des produits zingués électrolytiquement)</v>
      </c>
      <c r="C7526">
        <v>438175788</v>
      </c>
      <c r="D7526">
        <v>738300</v>
      </c>
    </row>
    <row r="7527" spans="1:4" x14ac:dyDescent="0.25">
      <c r="A7527" t="str">
        <f>T("   730719")</f>
        <v xml:space="preserve">   730719</v>
      </c>
      <c r="B7527" t="str">
        <f>T("   Accessoires de tuyauterie moulés en fonte, fer ou acier (sauf fonte non-malléable)")</f>
        <v xml:space="preserve">   Accessoires de tuyauterie moulés en fonte, fer ou acier (sauf fonte non-malléable)</v>
      </c>
      <c r="C7527">
        <v>444741</v>
      </c>
      <c r="D7527">
        <v>8</v>
      </c>
    </row>
    <row r="7528" spans="1:4" x14ac:dyDescent="0.25">
      <c r="A7528" t="str">
        <f>T("   731815")</f>
        <v xml:space="preserve">   731815</v>
      </c>
      <c r="B7528" t="s">
        <v>359</v>
      </c>
      <c r="C7528">
        <v>31486</v>
      </c>
      <c r="D7528">
        <v>1</v>
      </c>
    </row>
    <row r="7529" spans="1:4" x14ac:dyDescent="0.25">
      <c r="A7529" t="str">
        <f>T("   731816")</f>
        <v xml:space="preserve">   731816</v>
      </c>
      <c r="B7529" t="str">
        <f>T("   ÉCROUS EN FONTE, FER OU ACIER")</f>
        <v xml:space="preserve">   ÉCROUS EN FONTE, FER OU ACIER</v>
      </c>
      <c r="C7529">
        <v>482675</v>
      </c>
      <c r="D7529">
        <v>620</v>
      </c>
    </row>
    <row r="7530" spans="1:4" x14ac:dyDescent="0.25">
      <c r="A7530" t="str">
        <f>T("   731819")</f>
        <v xml:space="preserve">   731819</v>
      </c>
      <c r="B7530" t="str">
        <f>T("   Articles de boulonnerie et de visserie, filetés, en fonte, fer ou acier, n.d.a.")</f>
        <v xml:space="preserve">   Articles de boulonnerie et de visserie, filetés, en fonte, fer ou acier, n.d.a.</v>
      </c>
      <c r="C7530">
        <v>64313</v>
      </c>
      <c r="D7530">
        <v>12</v>
      </c>
    </row>
    <row r="7531" spans="1:4" x14ac:dyDescent="0.25">
      <c r="A7531" t="str">
        <f>T("   732090")</f>
        <v xml:space="preserve">   732090</v>
      </c>
      <c r="B7531" t="s">
        <v>360</v>
      </c>
      <c r="C7531">
        <v>387015</v>
      </c>
      <c r="D7531">
        <v>32</v>
      </c>
    </row>
    <row r="7532" spans="1:4" x14ac:dyDescent="0.25">
      <c r="A7532" t="str">
        <f>T("   830120")</f>
        <v xml:space="preserve">   830120</v>
      </c>
      <c r="B7532" t="str">
        <f>T("   Serrures des types utilisés pour véhicules automobiles, en métaux communs")</f>
        <v xml:space="preserve">   Serrures des types utilisés pour véhicules automobiles, en métaux communs</v>
      </c>
      <c r="C7532">
        <v>101018</v>
      </c>
      <c r="D7532">
        <v>2</v>
      </c>
    </row>
    <row r="7533" spans="1:4" x14ac:dyDescent="0.25">
      <c r="A7533" t="str">
        <f>T("   830629")</f>
        <v xml:space="preserve">   830629</v>
      </c>
      <c r="B7533" t="str">
        <f>T("   Statuettes et autres objets d'ornement, en métaux communs, ni argentés, ni dorés, ni platinés (sauf objets d'art, pièces de collection et antiquités)")</f>
        <v xml:space="preserve">   Statuettes et autres objets d'ornement, en métaux communs, ni argentés, ni dorés, ni platinés (sauf objets d'art, pièces de collection et antiquités)</v>
      </c>
      <c r="C7533">
        <v>55882</v>
      </c>
      <c r="D7533">
        <v>1</v>
      </c>
    </row>
    <row r="7534" spans="1:4" x14ac:dyDescent="0.25">
      <c r="A7534" t="str">
        <f>T("   840999")</f>
        <v xml:space="preserve">   840999</v>
      </c>
      <c r="B7534"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7534">
        <v>182357</v>
      </c>
      <c r="D7534">
        <v>3</v>
      </c>
    </row>
    <row r="7535" spans="1:4" x14ac:dyDescent="0.25">
      <c r="A7535" t="str">
        <f>T("   841330")</f>
        <v xml:space="preserve">   841330</v>
      </c>
      <c r="B7535" t="str">
        <f>T("   Pompes à carburant, à huile ou à liquide de refroidissement pour moteurs à allumage par étincelles ou par compression")</f>
        <v xml:space="preserve">   Pompes à carburant, à huile ou à liquide de refroidissement pour moteurs à allumage par étincelles ou par compression</v>
      </c>
      <c r="C7535">
        <v>57724</v>
      </c>
      <c r="D7535">
        <v>1</v>
      </c>
    </row>
    <row r="7536" spans="1:4" x14ac:dyDescent="0.25">
      <c r="A7536" t="str">
        <f>T("   841381")</f>
        <v xml:space="preserve">   841381</v>
      </c>
      <c r="B7536" t="s">
        <v>397</v>
      </c>
      <c r="C7536">
        <v>2409373</v>
      </c>
      <c r="D7536">
        <v>175</v>
      </c>
    </row>
    <row r="7537" spans="1:4" x14ac:dyDescent="0.25">
      <c r="A7537" t="str">
        <f>T("   841382")</f>
        <v xml:space="preserve">   841382</v>
      </c>
      <c r="B7537" t="str">
        <f>T("   Elévateurs à liquides (à l'excl. des pompes)")</f>
        <v xml:space="preserve">   Elévateurs à liquides (à l'excl. des pompes)</v>
      </c>
      <c r="C7537">
        <v>81995</v>
      </c>
      <c r="D7537">
        <v>2</v>
      </c>
    </row>
    <row r="7538" spans="1:4" x14ac:dyDescent="0.25">
      <c r="A7538" t="str">
        <f>T("   841391")</f>
        <v xml:space="preserve">   841391</v>
      </c>
      <c r="B7538" t="str">
        <f>T("   Parties de pompes pour liquides, n.d.a.")</f>
        <v xml:space="preserve">   Parties de pompes pour liquides, n.d.a.</v>
      </c>
      <c r="C7538">
        <v>789201</v>
      </c>
      <c r="D7538">
        <v>5.8</v>
      </c>
    </row>
    <row r="7539" spans="1:4" x14ac:dyDescent="0.25">
      <c r="A7539" t="str">
        <f>T("   841583")</f>
        <v xml:space="preserve">   841583</v>
      </c>
      <c r="B7539" t="s">
        <v>402</v>
      </c>
      <c r="C7539">
        <v>170000</v>
      </c>
      <c r="D7539">
        <v>454</v>
      </c>
    </row>
    <row r="7540" spans="1:4" x14ac:dyDescent="0.25">
      <c r="A7540" t="str">
        <f>T("   841829")</f>
        <v xml:space="preserve">   841829</v>
      </c>
      <c r="B7540" t="str">
        <f>T("   Réfrigérateurs ménagers à absorption, non-électriques")</f>
        <v xml:space="preserve">   Réfrigérateurs ménagers à absorption, non-électriques</v>
      </c>
      <c r="C7540">
        <v>1231192</v>
      </c>
      <c r="D7540">
        <v>2925</v>
      </c>
    </row>
    <row r="7541" spans="1:4" x14ac:dyDescent="0.25">
      <c r="A7541" t="str">
        <f>T("   842123")</f>
        <v xml:space="preserve">   842123</v>
      </c>
      <c r="B7541" t="str">
        <f>T("   Appareils pour la filtration des huiles minérales et carburants pour les moteurs à allumage par étincelles ou par compression")</f>
        <v xml:space="preserve">   Appareils pour la filtration des huiles minérales et carburants pour les moteurs à allumage par étincelles ou par compression</v>
      </c>
      <c r="C7541">
        <v>89211</v>
      </c>
      <c r="D7541">
        <v>3</v>
      </c>
    </row>
    <row r="7542" spans="1:4" x14ac:dyDescent="0.25">
      <c r="A7542" t="str">
        <f>T("   842131")</f>
        <v xml:space="preserve">   842131</v>
      </c>
      <c r="B7542" t="str">
        <f>T("   Filtres d'entrée d'air pour moteurs à allumage par étincelles ou par compression")</f>
        <v xml:space="preserve">   Filtres d'entrée d'air pour moteurs à allumage par étincelles ou par compression</v>
      </c>
      <c r="C7542">
        <v>676873</v>
      </c>
      <c r="D7542">
        <v>15</v>
      </c>
    </row>
    <row r="7543" spans="1:4" x14ac:dyDescent="0.25">
      <c r="A7543" t="str">
        <f>T("   842199")</f>
        <v xml:space="preserve">   842199</v>
      </c>
      <c r="B7543" t="str">
        <f>T("   Parties d'appareils pour la filtration ou l'épuration des liquides ou des gaz, n.d.a.")</f>
        <v xml:space="preserve">   Parties d'appareils pour la filtration ou l'épuration des liquides ou des gaz, n.d.a.</v>
      </c>
      <c r="C7543">
        <v>240000</v>
      </c>
      <c r="D7543">
        <v>12</v>
      </c>
    </row>
    <row r="7544" spans="1:4" x14ac:dyDescent="0.25">
      <c r="A7544" t="str">
        <f>T("   842911")</f>
        <v xml:space="preserve">   842911</v>
      </c>
      <c r="B7544" t="str">
        <f>T("   Bouteurs 'bulldozers' et bouteurs biais 'angledozers', à chenilles")</f>
        <v xml:space="preserve">   Bouteurs 'bulldozers' et bouteurs biais 'angledozers', à chenilles</v>
      </c>
      <c r="C7544">
        <v>4000000</v>
      </c>
      <c r="D7544">
        <v>9700</v>
      </c>
    </row>
    <row r="7545" spans="1:4" x14ac:dyDescent="0.25">
      <c r="A7545" t="str">
        <f>T("   842940")</f>
        <v xml:space="preserve">   842940</v>
      </c>
      <c r="B7545" t="str">
        <f>T("   Rouleaux compresseurs et autres compacteuses, autopropulsés")</f>
        <v xml:space="preserve">   Rouleaux compresseurs et autres compacteuses, autopropulsés</v>
      </c>
      <c r="C7545">
        <v>15501293</v>
      </c>
      <c r="D7545">
        <v>20000</v>
      </c>
    </row>
    <row r="7546" spans="1:4" x14ac:dyDescent="0.25">
      <c r="A7546" t="str">
        <f>T("   843149")</f>
        <v xml:space="preserve">   843149</v>
      </c>
      <c r="B7546" t="str">
        <f>T("   Parties de machines et appareils du n° 8426, 8429 ou 8430, n.d.a.")</f>
        <v xml:space="preserve">   Parties de machines et appareils du n° 8426, 8429 ou 8430, n.d.a.</v>
      </c>
      <c r="C7546">
        <v>4010942</v>
      </c>
      <c r="D7546">
        <v>57</v>
      </c>
    </row>
    <row r="7547" spans="1:4" x14ac:dyDescent="0.25">
      <c r="A7547" t="str">
        <f>T("   847141")</f>
        <v xml:space="preserve">   847141</v>
      </c>
      <c r="B7547" t="s">
        <v>436</v>
      </c>
      <c r="C7547">
        <v>200000</v>
      </c>
      <c r="D7547">
        <v>80</v>
      </c>
    </row>
    <row r="7548" spans="1:4" x14ac:dyDescent="0.25">
      <c r="A7548" t="str">
        <f>T("   847989")</f>
        <v xml:space="preserve">   847989</v>
      </c>
      <c r="B7548" t="str">
        <f>T("   Machines et appareils, y.c. les appareils mécaniques, n.d.a.")</f>
        <v xml:space="preserve">   Machines et appareils, y.c. les appareils mécaniques, n.d.a.</v>
      </c>
      <c r="C7548">
        <v>1600000</v>
      </c>
      <c r="D7548">
        <v>1600</v>
      </c>
    </row>
    <row r="7549" spans="1:4" x14ac:dyDescent="0.25">
      <c r="A7549" t="str">
        <f>T("   848120")</f>
        <v xml:space="preserve">   848120</v>
      </c>
      <c r="B7549" t="str">
        <f>T("   Valves pour transmissions oléohydrauliques ou pneumatiques")</f>
        <v xml:space="preserve">   Valves pour transmissions oléohydrauliques ou pneumatiques</v>
      </c>
      <c r="C7549">
        <v>500000</v>
      </c>
      <c r="D7549">
        <v>80</v>
      </c>
    </row>
    <row r="7550" spans="1:4" x14ac:dyDescent="0.25">
      <c r="A7550" t="str">
        <f>T("   848280")</f>
        <v xml:space="preserve">   848280</v>
      </c>
      <c r="B7550" t="s">
        <v>447</v>
      </c>
      <c r="C7550">
        <v>167270</v>
      </c>
      <c r="D7550">
        <v>4</v>
      </c>
    </row>
    <row r="7551" spans="1:4" x14ac:dyDescent="0.25">
      <c r="A7551" t="str">
        <f>T("   850790")</f>
        <v xml:space="preserve">   850790</v>
      </c>
      <c r="B7551" t="str">
        <f>T("   Plaques, séparateurs et autres parties d'accumulateurs électriques n.d.a.")</f>
        <v xml:space="preserve">   Plaques, séparateurs et autres parties d'accumulateurs électriques n.d.a.</v>
      </c>
      <c r="C7551">
        <v>50000</v>
      </c>
      <c r="D7551">
        <v>2.8</v>
      </c>
    </row>
    <row r="7552" spans="1:4" x14ac:dyDescent="0.25">
      <c r="A7552" t="str">
        <f>T("   851650")</f>
        <v xml:space="preserve">   851650</v>
      </c>
      <c r="B7552" t="str">
        <f>T("   Fours à micro-ondes")</f>
        <v xml:space="preserve">   Fours à micro-ondes</v>
      </c>
      <c r="C7552">
        <v>250000</v>
      </c>
      <c r="D7552">
        <v>2500</v>
      </c>
    </row>
    <row r="7553" spans="1:4" x14ac:dyDescent="0.25">
      <c r="A7553" t="str">
        <f>T("   851780")</f>
        <v xml:space="preserve">   851780</v>
      </c>
      <c r="B7553" t="s">
        <v>458</v>
      </c>
      <c r="C7553">
        <v>889370171</v>
      </c>
      <c r="D7553">
        <v>8396</v>
      </c>
    </row>
    <row r="7554" spans="1:4" x14ac:dyDescent="0.25">
      <c r="A7554" t="str">
        <f>T("   852691")</f>
        <v xml:space="preserve">   852691</v>
      </c>
      <c r="B7554" t="str">
        <f>T("   Appareils de radionavigation")</f>
        <v xml:space="preserve">   Appareils de radionavigation</v>
      </c>
      <c r="C7554">
        <v>135000</v>
      </c>
      <c r="D7554">
        <v>10.9</v>
      </c>
    </row>
    <row r="7555" spans="1:4" x14ac:dyDescent="0.25">
      <c r="A7555" t="str">
        <f>T("   852719")</f>
        <v xml:space="preserve">   852719</v>
      </c>
      <c r="B7555" t="str">
        <f>T("   Récepteurs de radiodiffusion pouvant fonctionner sans source d'énergie extérieure, y.c. les appareils recevant également la radiotéléphonie ou la radiotélégraphie, non combinés à un appareil d'enregistrement et de reproduction du son")</f>
        <v xml:space="preserve">   Récepteurs de radiodiffusion pouvant fonctionner sans source d'énergie extérieure, y.c. les appareils recevant également la radiotéléphonie ou la radiotélégraphie, non combinés à un appareil d'enregistrement et de reproduction du son</v>
      </c>
      <c r="C7555">
        <v>260000</v>
      </c>
      <c r="D7555">
        <v>2505</v>
      </c>
    </row>
    <row r="7556" spans="1:4" x14ac:dyDescent="0.25">
      <c r="A7556" t="str">
        <f>T("   852812")</f>
        <v xml:space="preserve">   852812</v>
      </c>
      <c r="B7556"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7556">
        <v>1485000</v>
      </c>
      <c r="D7556">
        <v>2745</v>
      </c>
    </row>
    <row r="7557" spans="1:4" x14ac:dyDescent="0.25">
      <c r="A7557" t="str">
        <f>T("   852910")</f>
        <v xml:space="preserve">   852910</v>
      </c>
      <c r="B7557"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7557">
        <v>8903400</v>
      </c>
      <c r="D7557">
        <v>968</v>
      </c>
    </row>
    <row r="7558" spans="1:4" x14ac:dyDescent="0.25">
      <c r="A7558" t="str">
        <f>T("   853650")</f>
        <v xml:space="preserve">   853650</v>
      </c>
      <c r="B7558" t="str">
        <f>T("   Interrupteurs, sectionneurs et commutateurs, pour une tension &lt;= 1.000 V (autres que relais et disjoncteurs)")</f>
        <v xml:space="preserve">   Interrupteurs, sectionneurs et commutateurs, pour une tension &lt;= 1.000 V (autres que relais et disjoncteurs)</v>
      </c>
      <c r="C7558">
        <v>22959</v>
      </c>
      <c r="D7558">
        <v>1</v>
      </c>
    </row>
    <row r="7559" spans="1:4" x14ac:dyDescent="0.25">
      <c r="A7559" t="str">
        <f>T("   853690")</f>
        <v xml:space="preserve">   853690</v>
      </c>
      <c r="B7559" t="s">
        <v>474</v>
      </c>
      <c r="C7559">
        <v>53133</v>
      </c>
      <c r="D7559">
        <v>1</v>
      </c>
    </row>
    <row r="7560" spans="1:4" x14ac:dyDescent="0.25">
      <c r="A7560" t="str">
        <f>T("   853939")</f>
        <v xml:space="preserve">   853939</v>
      </c>
      <c r="B7560" t="str">
        <f>T("   Lampes et tubes à décharge (autres que fluorescents, à cathode chaude, à vapeur de mercure ou de sodium, à halogénure métallique et qu'à rayons ultraviolets)")</f>
        <v xml:space="preserve">   Lampes et tubes à décharge (autres que fluorescents, à cathode chaude, à vapeur de mercure ou de sodium, à halogénure métallique et qu'à rayons ultraviolets)</v>
      </c>
      <c r="C7560">
        <v>76747</v>
      </c>
      <c r="D7560">
        <v>2</v>
      </c>
    </row>
    <row r="7561" spans="1:4" x14ac:dyDescent="0.25">
      <c r="A7561" t="str">
        <f>T("   870120")</f>
        <v xml:space="preserve">   870120</v>
      </c>
      <c r="B7561" t="str">
        <f>T("   Tracteurs routiers pour semi-remorques")</f>
        <v xml:space="preserve">   Tracteurs routiers pour semi-remorques</v>
      </c>
      <c r="C7561">
        <v>14258774</v>
      </c>
      <c r="D7561">
        <v>63626</v>
      </c>
    </row>
    <row r="7562" spans="1:4" x14ac:dyDescent="0.25">
      <c r="A7562" t="str">
        <f>T("   870190")</f>
        <v xml:space="preserve">   870190</v>
      </c>
      <c r="B7562" t="str">
        <f>T("   Tracteurs (à l'excl. des chariots-tracteurs du n° 8709, ainsi que des motoculteurs, tracteurs routiers pour semi-remorques et tracteurs à chenilles)")</f>
        <v xml:space="preserve">   Tracteurs (à l'excl. des chariots-tracteurs du n° 8709, ainsi que des motoculteurs, tracteurs routiers pour semi-remorques et tracteurs à chenilles)</v>
      </c>
      <c r="C7562">
        <v>1494781</v>
      </c>
      <c r="D7562">
        <v>7880</v>
      </c>
    </row>
    <row r="7563" spans="1:4" x14ac:dyDescent="0.25">
      <c r="A7563" t="str">
        <f>T("   870210")</f>
        <v xml:space="preserve">   870210</v>
      </c>
      <c r="B7563" t="s">
        <v>477</v>
      </c>
      <c r="C7563">
        <v>58874328</v>
      </c>
      <c r="D7563">
        <v>15880</v>
      </c>
    </row>
    <row r="7564" spans="1:4" x14ac:dyDescent="0.25">
      <c r="A7564" t="str">
        <f>T("   870290")</f>
        <v xml:space="preserve">   870290</v>
      </c>
      <c r="B7564" t="s">
        <v>478</v>
      </c>
      <c r="C7564">
        <v>54409653</v>
      </c>
      <c r="D7564">
        <v>32345</v>
      </c>
    </row>
    <row r="7565" spans="1:4" x14ac:dyDescent="0.25">
      <c r="A7565" t="str">
        <f>T("   870321")</f>
        <v xml:space="preserve">   870321</v>
      </c>
      <c r="B7565" t="s">
        <v>479</v>
      </c>
      <c r="C7565">
        <v>4941642</v>
      </c>
      <c r="D7565">
        <v>5720</v>
      </c>
    </row>
    <row r="7566" spans="1:4" x14ac:dyDescent="0.25">
      <c r="A7566" t="str">
        <f>T("   870322")</f>
        <v xml:space="preserve">   870322</v>
      </c>
      <c r="B7566" t="s">
        <v>480</v>
      </c>
      <c r="C7566">
        <v>395839027</v>
      </c>
      <c r="D7566">
        <v>232542</v>
      </c>
    </row>
    <row r="7567" spans="1:4" x14ac:dyDescent="0.25">
      <c r="A7567" t="str">
        <f>T("   870323")</f>
        <v xml:space="preserve">   870323</v>
      </c>
      <c r="B7567" t="s">
        <v>481</v>
      </c>
      <c r="C7567">
        <v>603671837</v>
      </c>
      <c r="D7567">
        <v>126879</v>
      </c>
    </row>
    <row r="7568" spans="1:4" x14ac:dyDescent="0.25">
      <c r="A7568" t="str">
        <f>T("   870324")</f>
        <v xml:space="preserve">   870324</v>
      </c>
      <c r="B7568" t="s">
        <v>482</v>
      </c>
      <c r="C7568">
        <v>81993197</v>
      </c>
      <c r="D7568">
        <v>15421</v>
      </c>
    </row>
    <row r="7569" spans="1:4" x14ac:dyDescent="0.25">
      <c r="A7569" t="str">
        <f>T("   870332")</f>
        <v xml:space="preserve">   870332</v>
      </c>
      <c r="B7569" t="s">
        <v>484</v>
      </c>
      <c r="C7569">
        <v>16298905</v>
      </c>
      <c r="D7569">
        <v>2325</v>
      </c>
    </row>
    <row r="7570" spans="1:4" x14ac:dyDescent="0.25">
      <c r="A7570" t="str">
        <f>T("   870333")</f>
        <v xml:space="preserve">   870333</v>
      </c>
      <c r="B7570" t="s">
        <v>485</v>
      </c>
      <c r="C7570">
        <v>213985134</v>
      </c>
      <c r="D7570">
        <v>25179</v>
      </c>
    </row>
    <row r="7571" spans="1:4" x14ac:dyDescent="0.25">
      <c r="A7571" t="str">
        <f>T("   870410")</f>
        <v xml:space="preserve">   870410</v>
      </c>
      <c r="B7571" t="str">
        <f>T("   Tombereaux automoteurs utilisés en dehors du réseau routier")</f>
        <v xml:space="preserve">   Tombereaux automoteurs utilisés en dehors du réseau routier</v>
      </c>
      <c r="C7571">
        <v>6900000</v>
      </c>
      <c r="D7571">
        <v>2000</v>
      </c>
    </row>
    <row r="7572" spans="1:4" x14ac:dyDescent="0.25">
      <c r="A7572" t="str">
        <f>T("   870421")</f>
        <v xml:space="preserve">   870421</v>
      </c>
      <c r="B7572" t="s">
        <v>486</v>
      </c>
      <c r="C7572">
        <v>585054211</v>
      </c>
      <c r="D7572">
        <v>161884</v>
      </c>
    </row>
    <row r="7573" spans="1:4" x14ac:dyDescent="0.25">
      <c r="A7573" t="str">
        <f>T("   870422")</f>
        <v xml:space="preserve">   870422</v>
      </c>
      <c r="B7573" t="s">
        <v>487</v>
      </c>
      <c r="C7573">
        <v>64381992</v>
      </c>
      <c r="D7573">
        <v>109720</v>
      </c>
    </row>
    <row r="7574" spans="1:4" x14ac:dyDescent="0.25">
      <c r="A7574" t="str">
        <f>T("   870423")</f>
        <v xml:space="preserve">   870423</v>
      </c>
      <c r="B7574" t="s">
        <v>488</v>
      </c>
      <c r="C7574">
        <v>1256842</v>
      </c>
      <c r="D7574">
        <v>6800</v>
      </c>
    </row>
    <row r="7575" spans="1:4" x14ac:dyDescent="0.25">
      <c r="A7575" t="str">
        <f>T("   870431")</f>
        <v xml:space="preserve">   870431</v>
      </c>
      <c r="B7575" t="s">
        <v>489</v>
      </c>
      <c r="C7575">
        <v>28884914</v>
      </c>
      <c r="D7575">
        <v>6306</v>
      </c>
    </row>
    <row r="7576" spans="1:4" x14ac:dyDescent="0.25">
      <c r="A7576" t="str">
        <f>T("   870490")</f>
        <v xml:space="preserve">   870490</v>
      </c>
      <c r="B7576" t="str">
        <f>T("   Véhicules automobiles pour le transport de marchandises à moteur autre qu'à piston à allumage par étincelles ou moteur diesel ou semi-diesel (sauf tombereaux automoteurs du n° 8704.10, véhicules automobiles à usages spéciaux du n° 8705)")</f>
        <v xml:space="preserve">   Véhicules automobiles pour le transport de marchandises à moteur autre qu'à piston à allumage par étincelles ou moteur diesel ou semi-diesel (sauf tombereaux automoteurs du n° 8704.10, véhicules automobiles à usages spéciaux du n° 8705)</v>
      </c>
      <c r="C7576">
        <v>3195629</v>
      </c>
      <c r="D7576">
        <v>4480</v>
      </c>
    </row>
    <row r="7577" spans="1:4" x14ac:dyDescent="0.25">
      <c r="A7577" t="str">
        <f>T("   870590")</f>
        <v xml:space="preserve">   870590</v>
      </c>
      <c r="B7577" t="s">
        <v>491</v>
      </c>
      <c r="C7577">
        <v>1976373</v>
      </c>
      <c r="D7577">
        <v>2500</v>
      </c>
    </row>
    <row r="7578" spans="1:4" x14ac:dyDescent="0.25">
      <c r="A7578" t="str">
        <f>T("   870899")</f>
        <v xml:space="preserve">   870899</v>
      </c>
      <c r="B7578"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7578">
        <v>15312237</v>
      </c>
      <c r="D7578">
        <v>1192</v>
      </c>
    </row>
    <row r="7579" spans="1:4" x14ac:dyDescent="0.25">
      <c r="A7579" t="str">
        <f>T("   870919")</f>
        <v xml:space="preserve">   870919</v>
      </c>
      <c r="B7579" t="str">
        <f>T("   CHARIOTS AUTOMOBILES NON-ÉLECTRIQUES, NON-MUNIS D'UN DISPOSITIF DE LEVAGE, DES TYPES UTILISÉS POUR LE TRANSPORT DES MARCHANDISES SUR DE COURTES DISTANCES, Y.C. LES CHARIOTS-TRACTEURS DES TYPES UTILISÉS DANS LES GARES")</f>
        <v xml:space="preserve">   CHARIOTS AUTOMOBILES NON-ÉLECTRIQUES, NON-MUNIS D'UN DISPOSITIF DE LEVAGE, DES TYPES UTILISÉS POUR LE TRANSPORT DES MARCHANDISES SUR DE COURTES DISTANCES, Y.C. LES CHARIOTS-TRACTEURS DES TYPES UTILISÉS DANS LES GARES</v>
      </c>
      <c r="C7579">
        <v>200000</v>
      </c>
      <c r="D7579">
        <v>3000</v>
      </c>
    </row>
    <row r="7580" spans="1:4" x14ac:dyDescent="0.25">
      <c r="A7580" t="str">
        <f>T("   871120")</f>
        <v xml:space="preserve">   871120</v>
      </c>
      <c r="B7580" t="str">
        <f>T("   Motocycles à moteur à piston alternatif, cylindrée &gt; 50 cm³ mais &lt;= 250 cm³")</f>
        <v xml:space="preserve">   Motocycles à moteur à piston alternatif, cylindrée &gt; 50 cm³ mais &lt;= 250 cm³</v>
      </c>
      <c r="C7580">
        <v>211145741</v>
      </c>
      <c r="D7580">
        <v>20997</v>
      </c>
    </row>
    <row r="7581" spans="1:4" x14ac:dyDescent="0.25">
      <c r="A7581" t="str">
        <f>T("   871130")</f>
        <v xml:space="preserve">   871130</v>
      </c>
      <c r="B7581" t="str">
        <f>T("   Motocycles à moteur à piston alternatif, cylindrée &gt; 250 cm³ mais &lt;= 500 cm³")</f>
        <v xml:space="preserve">   Motocycles à moteur à piston alternatif, cylindrée &gt; 250 cm³ mais &lt;= 500 cm³</v>
      </c>
      <c r="C7581">
        <v>34366214</v>
      </c>
      <c r="D7581">
        <v>2956</v>
      </c>
    </row>
    <row r="7582" spans="1:4" x14ac:dyDescent="0.25">
      <c r="A7582" t="str">
        <f>T("   871200")</f>
        <v xml:space="preserve">   871200</v>
      </c>
      <c r="B7582" t="str">
        <f>T("   BICYCLETTES ET AUTRES CYCLES, -Y.C. LES TRIPORTEURS-, SANS MOTEUR")</f>
        <v xml:space="preserve">   BICYCLETTES ET AUTRES CYCLES, -Y.C. LES TRIPORTEURS-, SANS MOTEUR</v>
      </c>
      <c r="C7582">
        <v>1800000</v>
      </c>
      <c r="D7582">
        <v>1200</v>
      </c>
    </row>
    <row r="7583" spans="1:4" x14ac:dyDescent="0.25">
      <c r="A7583" t="str">
        <f>T("   871620")</f>
        <v xml:space="preserve">   871620</v>
      </c>
      <c r="B7583" t="str">
        <f>T("   Remorques et semi-remorques autochargeuses ou autodéchargeuses, pour usages agricoles")</f>
        <v xml:space="preserve">   Remorques et semi-remorques autochargeuses ou autodéchargeuses, pour usages agricoles</v>
      </c>
      <c r="C7583">
        <v>1225356</v>
      </c>
      <c r="D7583">
        <v>5700</v>
      </c>
    </row>
    <row r="7584" spans="1:4" x14ac:dyDescent="0.25">
      <c r="A7584" t="str">
        <f>T("   871640")</f>
        <v xml:space="preserve">   871640</v>
      </c>
      <c r="B7584"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7584">
        <v>8127523</v>
      </c>
      <c r="D7584">
        <v>54260</v>
      </c>
    </row>
    <row r="7585" spans="1:4" x14ac:dyDescent="0.25">
      <c r="A7585" t="str">
        <f>T("   890190")</f>
        <v xml:space="preserve">   890190</v>
      </c>
      <c r="B7585" t="str">
        <f>T("   Cargos et bateaux pour le transport de personnes et de marchandises (autres que bateaux frigorifiques, bateaux-citernes, cargos et bateaux destinés essentiellement au transport des personnes)")</f>
        <v xml:space="preserve">   Cargos et bateaux pour le transport de personnes et de marchandises (autres que bateaux frigorifiques, bateaux-citernes, cargos et bateaux destinés essentiellement au transport des personnes)</v>
      </c>
      <c r="C7585">
        <v>2754038</v>
      </c>
      <c r="D7585">
        <v>668.4</v>
      </c>
    </row>
    <row r="7586" spans="1:4" x14ac:dyDescent="0.25">
      <c r="A7586" t="str">
        <f>T("   902620")</f>
        <v xml:space="preserve">   902620</v>
      </c>
      <c r="B7586" t="str">
        <f>T("   Instruments et appareils pour la mesure ou le contrôle de la pression des liquides ou des gaz (à l'excl. des instruments et appareils pour la régulation ou le contrôle automatiques)")</f>
        <v xml:space="preserve">   Instruments et appareils pour la mesure ou le contrôle de la pression des liquides ou des gaz (à l'excl. des instruments et appareils pour la régulation ou le contrôle automatiques)</v>
      </c>
      <c r="C7586">
        <v>57069</v>
      </c>
      <c r="D7586">
        <v>1</v>
      </c>
    </row>
    <row r="7587" spans="1:4" x14ac:dyDescent="0.25">
      <c r="A7587" t="str">
        <f>T("   902790")</f>
        <v xml:space="preserve">   902790</v>
      </c>
      <c r="B7587" t="s">
        <v>506</v>
      </c>
      <c r="C7587">
        <v>990457</v>
      </c>
      <c r="D7587">
        <v>41</v>
      </c>
    </row>
    <row r="7588" spans="1:4" x14ac:dyDescent="0.25">
      <c r="A7588" t="str">
        <f>T("   903180")</f>
        <v xml:space="preserve">   903180</v>
      </c>
      <c r="B7588" t="str">
        <f>T("   INSTRUMENTS, APPAREILS ET MACHINES DE MESURE OU DE CONTRÔLE, NON-OPTIQUES, N.D.A. DANS LE PRÉSENT CHAPITRE")</f>
        <v xml:space="preserve">   INSTRUMENTS, APPAREILS ET MACHINES DE MESURE OU DE CONTRÔLE, NON-OPTIQUES, N.D.A. DANS LE PRÉSENT CHAPITRE</v>
      </c>
      <c r="C7588">
        <v>921292</v>
      </c>
      <c r="D7588">
        <v>3</v>
      </c>
    </row>
    <row r="7589" spans="1:4" x14ac:dyDescent="0.25">
      <c r="A7589" t="str">
        <f>T("KE")</f>
        <v>KE</v>
      </c>
      <c r="B7589" t="str">
        <f>T("Kenya")</f>
        <v>Kenya</v>
      </c>
    </row>
    <row r="7590" spans="1:4" x14ac:dyDescent="0.25">
      <c r="A7590" t="str">
        <f>T("   ZZ_Total_Produit_SH6")</f>
        <v xml:space="preserve">   ZZ_Total_Produit_SH6</v>
      </c>
      <c r="B7590" t="str">
        <f>T("   ZZ_Total_Produit_SH6")</f>
        <v xml:space="preserve">   ZZ_Total_Produit_SH6</v>
      </c>
      <c r="C7590">
        <v>43946710</v>
      </c>
      <c r="D7590">
        <v>43428</v>
      </c>
    </row>
    <row r="7591" spans="1:4" x14ac:dyDescent="0.25">
      <c r="A7591" t="str">
        <f>T("   060390")</f>
        <v xml:space="preserve">   060390</v>
      </c>
      <c r="B7591" t="str">
        <f>T("   Fleurs et boutons de fleurs, coupés, pour bouquets ou pour ornements, séchés, blanchis, teints, imprégnés ou autrement préparés")</f>
        <v xml:space="preserve">   Fleurs et boutons de fleurs, coupés, pour bouquets ou pour ornements, séchés, blanchis, teints, imprégnés ou autrement préparés</v>
      </c>
      <c r="C7591">
        <v>15000</v>
      </c>
      <c r="D7591">
        <v>27</v>
      </c>
    </row>
    <row r="7592" spans="1:4" x14ac:dyDescent="0.25">
      <c r="A7592" t="str">
        <f>T("   490199")</f>
        <v xml:space="preserve">   490199</v>
      </c>
      <c r="B7592"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7592">
        <v>200000</v>
      </c>
      <c r="D7592">
        <v>600</v>
      </c>
    </row>
    <row r="7593" spans="1:4" x14ac:dyDescent="0.25">
      <c r="A7593" t="str">
        <f>T("   530490")</f>
        <v xml:space="preserve">   530490</v>
      </c>
      <c r="B7593" t="str">
        <f>T("   Sisal et autres fibres textiles du genre 'Agave', travaillés mais non filés; étoupes et déchets de ces fibres, y.c. les déchets de fils et les effilochés")</f>
        <v xml:space="preserve">   Sisal et autres fibres textiles du genre 'Agave', travaillés mais non filés; étoupes et déchets de ces fibres, y.c. les déchets de fils et les effilochés</v>
      </c>
      <c r="C7593">
        <v>19413910</v>
      </c>
      <c r="D7593">
        <v>29000</v>
      </c>
    </row>
    <row r="7594" spans="1:4" x14ac:dyDescent="0.25">
      <c r="A7594" t="str">
        <f>T("   620590")</f>
        <v xml:space="preserve">   620590</v>
      </c>
      <c r="B7594"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7594">
        <v>600000</v>
      </c>
      <c r="D7594">
        <v>800</v>
      </c>
    </row>
    <row r="7595" spans="1:4" x14ac:dyDescent="0.25">
      <c r="A7595" t="str">
        <f>T("   640340")</f>
        <v xml:space="preserve">   640340</v>
      </c>
      <c r="B7595" t="str">
        <f>T("   Chaussures, à semelles extérieures en caoutchouc, matière plastique, cuir naturel ou reconstitué et dessus en cuir naturel, comportant à l'avant une coquille de protection en métal (sauf chaussures de sport ou d'orthopédie)")</f>
        <v xml:space="preserve">   Chaussures, à semelles extérieures en caoutchouc, matière plastique, cuir naturel ou reconstitué et dessus en cuir naturel, comportant à l'avant une coquille de protection en métal (sauf chaussures de sport ou d'orthopédie)</v>
      </c>
      <c r="C7595">
        <v>310000</v>
      </c>
      <c r="D7595">
        <v>251</v>
      </c>
    </row>
    <row r="7596" spans="1:4" x14ac:dyDescent="0.25">
      <c r="A7596" t="str">
        <f>T("   670290")</f>
        <v xml:space="preserve">   670290</v>
      </c>
      <c r="B7596" t="str">
        <f>T("   Fleurs, feuillages et fruits artificiels, y.c. leurs parties; articles confectionnés en fleurs, feuillages ou fruits artificiels fabriqués par ligature, collage, emboîtage ou procédés simil. (autres qu'en matière plastique)")</f>
        <v xml:space="preserve">   Fleurs, feuillages et fruits artificiels, y.c. leurs parties; articles confectionnés en fleurs, feuillages ou fruits artificiels fabriqués par ligature, collage, emboîtage ou procédés simil. (autres qu'en matière plastique)</v>
      </c>
      <c r="C7596">
        <v>15000</v>
      </c>
      <c r="D7596">
        <v>25</v>
      </c>
    </row>
    <row r="7597" spans="1:4" x14ac:dyDescent="0.25">
      <c r="A7597" t="str">
        <f>T("   711790")</f>
        <v xml:space="preserve">   711790</v>
      </c>
      <c r="B7597" t="str">
        <f>T("   Bijouterie de fantaisie (autre qu'en métaux communs, même argentés, dorés ou platinés)")</f>
        <v xml:space="preserve">   Bijouterie de fantaisie (autre qu'en métaux communs, même argentés, dorés ou platinés)</v>
      </c>
      <c r="C7597">
        <v>7871621</v>
      </c>
      <c r="D7597">
        <v>3350</v>
      </c>
    </row>
    <row r="7598" spans="1:4" x14ac:dyDescent="0.25">
      <c r="A7598" t="str">
        <f>T("   841510")</f>
        <v xml:space="preserve">   841510</v>
      </c>
      <c r="B7598" t="s">
        <v>399</v>
      </c>
      <c r="C7598">
        <v>11355322</v>
      </c>
      <c r="D7598">
        <v>5612</v>
      </c>
    </row>
    <row r="7599" spans="1:4" x14ac:dyDescent="0.25">
      <c r="A7599" t="str">
        <f>T("   844390")</f>
        <v xml:space="preserve">   844390</v>
      </c>
      <c r="B7599" t="str">
        <f>T("   Parties de machines et appareils à imprimer et de leur machines et appareils auxiliaires, n.d.a.")</f>
        <v xml:space="preserve">   Parties de machines et appareils à imprimer et de leur machines et appareils auxiliaires, n.d.a.</v>
      </c>
      <c r="C7599">
        <v>840000</v>
      </c>
      <c r="D7599">
        <v>250</v>
      </c>
    </row>
    <row r="7600" spans="1:4" x14ac:dyDescent="0.25">
      <c r="A7600" t="str">
        <f>T("   847190")</f>
        <v xml:space="preserve">   847190</v>
      </c>
      <c r="B7600"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7600">
        <v>287610</v>
      </c>
      <c r="D7600">
        <v>3</v>
      </c>
    </row>
    <row r="7601" spans="1:4" x14ac:dyDescent="0.25">
      <c r="A7601" t="str">
        <f>T("   851719")</f>
        <v xml:space="preserve">   851719</v>
      </c>
      <c r="B7601" t="str">
        <f>T("   Postes téléphoniques d'usagers pour la téléphonie par fil; visiophones (sauf postes téléphoniques d'usagers par fil à combinés sans fil et parlophones)")</f>
        <v xml:space="preserve">   Postes téléphoniques d'usagers pour la téléphonie par fil; visiophones (sauf postes téléphoniques d'usagers par fil à combinés sans fil et parlophones)</v>
      </c>
      <c r="C7601">
        <v>450000</v>
      </c>
      <c r="D7601">
        <v>405</v>
      </c>
    </row>
    <row r="7602" spans="1:4" x14ac:dyDescent="0.25">
      <c r="A7602" t="str">
        <f>T("   851790")</f>
        <v xml:space="preserve">   851790</v>
      </c>
      <c r="B7602" t="s">
        <v>459</v>
      </c>
      <c r="C7602">
        <v>930000</v>
      </c>
      <c r="D7602">
        <v>995</v>
      </c>
    </row>
    <row r="7603" spans="1:4" x14ac:dyDescent="0.25">
      <c r="A7603" t="str">
        <f>T("   870899")</f>
        <v xml:space="preserve">   870899</v>
      </c>
      <c r="B7603"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7603">
        <v>319247</v>
      </c>
      <c r="D7603">
        <v>7</v>
      </c>
    </row>
    <row r="7604" spans="1:4" x14ac:dyDescent="0.25">
      <c r="A7604" t="str">
        <f>T("   910229")</f>
        <v xml:space="preserve">   910229</v>
      </c>
      <c r="B7604" t="str">
        <f>T("   Montres-bracelets, même incorporant un compteur de temps, à remontage exclusivement manuel (autres que celles en métaux précieux ou en plaqués ou doublés de métaux précieux)")</f>
        <v xml:space="preserve">   Montres-bracelets, même incorporant un compteur de temps, à remontage exclusivement manuel (autres que celles en métaux précieux ou en plaqués ou doublés de métaux précieux)</v>
      </c>
      <c r="C7604">
        <v>339000</v>
      </c>
      <c r="D7604">
        <v>203</v>
      </c>
    </row>
    <row r="7605" spans="1:4" x14ac:dyDescent="0.25">
      <c r="A7605" t="str">
        <f>T("   940360")</f>
        <v xml:space="preserve">   940360</v>
      </c>
      <c r="B7605" t="str">
        <f>T("   Meubles en bois (autres que pour bureaux, cuisines ou chambres à coucher et autres que sièges)")</f>
        <v xml:space="preserve">   Meubles en bois (autres que pour bureaux, cuisines ou chambres à coucher et autres que sièges)</v>
      </c>
      <c r="C7605">
        <v>1000000</v>
      </c>
      <c r="D7605">
        <v>1900</v>
      </c>
    </row>
    <row r="7606" spans="1:4" x14ac:dyDescent="0.25">
      <c r="A7606" t="str">
        <f>T("KH")</f>
        <v>KH</v>
      </c>
      <c r="B7606" t="str">
        <f>T("Cambodge")</f>
        <v>Cambodge</v>
      </c>
    </row>
    <row r="7607" spans="1:4" x14ac:dyDescent="0.25">
      <c r="A7607" t="str">
        <f>T("   ZZ_Total_Produit_SH6")</f>
        <v xml:space="preserve">   ZZ_Total_Produit_SH6</v>
      </c>
      <c r="B7607" t="str">
        <f>T("   ZZ_Total_Produit_SH6")</f>
        <v xml:space="preserve">   ZZ_Total_Produit_SH6</v>
      </c>
      <c r="C7607">
        <v>47502617</v>
      </c>
      <c r="D7607">
        <v>91576</v>
      </c>
    </row>
    <row r="7608" spans="1:4" x14ac:dyDescent="0.25">
      <c r="A7608" t="str">
        <f>T("   630900")</f>
        <v xml:space="preserve">   630900</v>
      </c>
      <c r="B7608" t="s">
        <v>278</v>
      </c>
      <c r="C7608">
        <v>47502617</v>
      </c>
      <c r="D7608">
        <v>91576</v>
      </c>
    </row>
    <row r="7609" spans="1:4" x14ac:dyDescent="0.25">
      <c r="A7609" t="str">
        <f>T("KP")</f>
        <v>KP</v>
      </c>
      <c r="B7609" t="str">
        <f>T("Corée, Rép. Populaire Démocratique")</f>
        <v>Corée, Rép. Populaire Démocratique</v>
      </c>
    </row>
    <row r="7610" spans="1:4" x14ac:dyDescent="0.25">
      <c r="A7610" t="str">
        <f>T("   ZZ_Total_Produit_SH6")</f>
        <v xml:space="preserve">   ZZ_Total_Produit_SH6</v>
      </c>
      <c r="B7610" t="str">
        <f>T("   ZZ_Total_Produit_SH6")</f>
        <v xml:space="preserve">   ZZ_Total_Produit_SH6</v>
      </c>
      <c r="C7610">
        <v>2468914042</v>
      </c>
      <c r="D7610">
        <v>80872128</v>
      </c>
    </row>
    <row r="7611" spans="1:4" x14ac:dyDescent="0.25">
      <c r="A7611" t="str">
        <f>T("   252310")</f>
        <v xml:space="preserve">   252310</v>
      </c>
      <c r="B7611" t="str">
        <f>T("   Ciments non pulvérisés dits 'clinkers'")</f>
        <v xml:space="preserve">   Ciments non pulvérisés dits 'clinkers'</v>
      </c>
      <c r="C7611">
        <v>2396400000</v>
      </c>
      <c r="D7611">
        <v>79880000</v>
      </c>
    </row>
    <row r="7612" spans="1:4" x14ac:dyDescent="0.25">
      <c r="A7612" t="str">
        <f>T("   271019")</f>
        <v xml:space="preserve">   271019</v>
      </c>
      <c r="B7612" t="str">
        <f>T("   Huiles moyennes et préparations, de pétrole ou de minéraux bitumineux, n.d.a.")</f>
        <v xml:space="preserve">   Huiles moyennes et préparations, de pétrole ou de minéraux bitumineux, n.d.a.</v>
      </c>
      <c r="C7612">
        <v>11224319</v>
      </c>
      <c r="D7612">
        <v>940982</v>
      </c>
    </row>
    <row r="7613" spans="1:4" x14ac:dyDescent="0.25">
      <c r="A7613" t="str">
        <f>T("   392690")</f>
        <v xml:space="preserve">   392690</v>
      </c>
      <c r="B7613" t="str">
        <f>T("   Ouvrages en matières plastiques et ouvrages en autres matières du n° 3901 à 3914, n.d.a.")</f>
        <v xml:space="preserve">   Ouvrages en matières plastiques et ouvrages en autres matières du n° 3901 à 3914, n.d.a.</v>
      </c>
      <c r="C7613">
        <v>119838</v>
      </c>
      <c r="D7613">
        <v>69</v>
      </c>
    </row>
    <row r="7614" spans="1:4" x14ac:dyDescent="0.25">
      <c r="A7614" t="str">
        <f>T("   401199")</f>
        <v xml:space="preserve">   401199</v>
      </c>
      <c r="B7614" t="s">
        <v>158</v>
      </c>
      <c r="C7614">
        <v>441002</v>
      </c>
      <c r="D7614">
        <v>254</v>
      </c>
    </row>
    <row r="7615" spans="1:4" x14ac:dyDescent="0.25">
      <c r="A7615" t="str">
        <f>T("   401699")</f>
        <v xml:space="preserve">   401699</v>
      </c>
      <c r="B7615" t="str">
        <f>T("   OUVRAGES EN CAOUTCHOUC VULCANISÉ NON-DURCI, N.D.A.")</f>
        <v xml:space="preserve">   OUVRAGES EN CAOUTCHOUC VULCANISÉ NON-DURCI, N.D.A.</v>
      </c>
      <c r="C7615">
        <v>51770</v>
      </c>
      <c r="D7615">
        <v>30</v>
      </c>
    </row>
    <row r="7616" spans="1:4" x14ac:dyDescent="0.25">
      <c r="A7616" t="str">
        <f>T("   490199")</f>
        <v xml:space="preserve">   490199</v>
      </c>
      <c r="B7616"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7616">
        <v>8208390</v>
      </c>
      <c r="D7616">
        <v>9850</v>
      </c>
    </row>
    <row r="7617" spans="1:4" x14ac:dyDescent="0.25">
      <c r="A7617" t="str">
        <f>T("   610990")</f>
        <v xml:space="preserve">   610990</v>
      </c>
      <c r="B7617" t="str">
        <f>T("   T-shirts et maillots de corps, en bonneterie, de matières textiles (sauf de coton)")</f>
        <v xml:space="preserve">   T-shirts et maillots de corps, en bonneterie, de matières textiles (sauf de coton)</v>
      </c>
      <c r="C7617">
        <v>7983</v>
      </c>
      <c r="D7617">
        <v>80</v>
      </c>
    </row>
    <row r="7618" spans="1:4" x14ac:dyDescent="0.25">
      <c r="A7618" t="str">
        <f>T("   731815")</f>
        <v xml:space="preserve">   731815</v>
      </c>
      <c r="B7618" t="s">
        <v>359</v>
      </c>
      <c r="C7618">
        <v>766960</v>
      </c>
      <c r="D7618">
        <v>441</v>
      </c>
    </row>
    <row r="7619" spans="1:4" x14ac:dyDescent="0.25">
      <c r="A7619" t="str">
        <f>T("   820412")</f>
        <v xml:space="preserve">   820412</v>
      </c>
      <c r="B7619" t="str">
        <f>T("   Clés de serrage à main, y.c. -les clés dynamométriques-, en métaux communs, à ouverture variable")</f>
        <v xml:space="preserve">   Clés de serrage à main, y.c. -les clés dynamométriques-, en métaux communs, à ouverture variable</v>
      </c>
      <c r="C7619">
        <v>131342</v>
      </c>
      <c r="D7619">
        <v>76</v>
      </c>
    </row>
    <row r="7620" spans="1:4" x14ac:dyDescent="0.25">
      <c r="A7620" t="str">
        <f>T("   820559")</f>
        <v xml:space="preserve">   820559</v>
      </c>
      <c r="B7620" t="str">
        <f>T("   Outils à main, y.c. -les diamants de vitrier-, en métaux communs, n.d.a.")</f>
        <v xml:space="preserve">   Outils à main, y.c. -les diamants de vitrier-, en métaux communs, n.d.a.</v>
      </c>
      <c r="C7620">
        <v>6710</v>
      </c>
      <c r="D7620">
        <v>4</v>
      </c>
    </row>
    <row r="7621" spans="1:4" x14ac:dyDescent="0.25">
      <c r="A7621" t="str">
        <f>T("   853690")</f>
        <v xml:space="preserve">   853690</v>
      </c>
      <c r="B7621" t="s">
        <v>474</v>
      </c>
      <c r="C7621">
        <v>23967</v>
      </c>
      <c r="D7621">
        <v>14</v>
      </c>
    </row>
    <row r="7622" spans="1:4" x14ac:dyDescent="0.25">
      <c r="A7622" t="str">
        <f>T("   854449")</f>
        <v xml:space="preserve">   854449</v>
      </c>
      <c r="B7622" t="str">
        <f>T("   CONDUCTEURS ÉLECTRIQUES, POUR TENSION &lt;= 1.000 V, ISOLÉS, SANS PIÈCES DE CONNEXION, N.D.A.")</f>
        <v xml:space="preserve">   CONDUCTEURS ÉLECTRIQUES, POUR TENSION &lt;= 1.000 V, ISOLÉS, SANS PIÈCES DE CONNEXION, N.D.A.</v>
      </c>
      <c r="C7622">
        <v>2736130</v>
      </c>
      <c r="D7622">
        <v>1572</v>
      </c>
    </row>
    <row r="7623" spans="1:4" x14ac:dyDescent="0.25">
      <c r="A7623" t="str">
        <f>T("   870322")</f>
        <v xml:space="preserve">   870322</v>
      </c>
      <c r="B7623" t="s">
        <v>480</v>
      </c>
      <c r="C7623">
        <v>10354327</v>
      </c>
      <c r="D7623">
        <v>2417</v>
      </c>
    </row>
    <row r="7624" spans="1:4" x14ac:dyDescent="0.25">
      <c r="A7624" t="str">
        <f>T("   870323")</f>
        <v xml:space="preserve">   870323</v>
      </c>
      <c r="B7624" t="s">
        <v>481</v>
      </c>
      <c r="C7624">
        <v>6232537</v>
      </c>
      <c r="D7624">
        <v>1230</v>
      </c>
    </row>
    <row r="7625" spans="1:4" x14ac:dyDescent="0.25">
      <c r="A7625" t="str">
        <f>T("   871120")</f>
        <v xml:space="preserve">   871120</v>
      </c>
      <c r="B7625" t="str">
        <f>T("   Motocycles à moteur à piston alternatif, cylindrée &gt; 50 cm³ mais &lt;= 250 cm³")</f>
        <v xml:space="preserve">   Motocycles à moteur à piston alternatif, cylindrée &gt; 50 cm³ mais &lt;= 250 cm³</v>
      </c>
      <c r="C7625">
        <v>14380500</v>
      </c>
      <c r="D7625">
        <v>6580</v>
      </c>
    </row>
    <row r="7626" spans="1:4" x14ac:dyDescent="0.25">
      <c r="A7626" t="str">
        <f>T("   940380")</f>
        <v xml:space="preserve">   940380</v>
      </c>
      <c r="B7626" t="str">
        <f>T("   Meubles en rotin, osier, bambou ou autres matières (sauf métal, bois et matières plastiques)")</f>
        <v xml:space="preserve">   Meubles en rotin, osier, bambou ou autres matières (sauf métal, bois et matières plastiques)</v>
      </c>
      <c r="C7626">
        <v>460176</v>
      </c>
      <c r="D7626">
        <v>264</v>
      </c>
    </row>
    <row r="7627" spans="1:4" x14ac:dyDescent="0.25">
      <c r="A7627" t="str">
        <f>T("   940540")</f>
        <v xml:space="preserve">   940540</v>
      </c>
      <c r="B7627" t="str">
        <f>T("   Appareils d'éclairage électrique, n.d.a.")</f>
        <v xml:space="preserve">   Appareils d'éclairage électrique, n.d.a.</v>
      </c>
      <c r="C7627">
        <v>11772837</v>
      </c>
      <c r="D7627">
        <v>6765</v>
      </c>
    </row>
    <row r="7628" spans="1:4" x14ac:dyDescent="0.25">
      <c r="A7628" t="str">
        <f>T("   960990")</f>
        <v xml:space="preserve">   960990</v>
      </c>
      <c r="B7628" t="str">
        <f>T("   Crayons (sauf crayons à gaine), pastels, fusains, craies à écrire ou à dessiner et craies de tailleurs")</f>
        <v xml:space="preserve">   Crayons (sauf crayons à gaine), pastels, fusains, craies à écrire ou à dessiner et craies de tailleurs</v>
      </c>
      <c r="C7628">
        <v>5595254</v>
      </c>
      <c r="D7628">
        <v>21500</v>
      </c>
    </row>
    <row r="7629" spans="1:4" x14ac:dyDescent="0.25">
      <c r="A7629" t="str">
        <f>T("KR")</f>
        <v>KR</v>
      </c>
      <c r="B7629" t="str">
        <f>T("Corée, République de")</f>
        <v>Corée, République de</v>
      </c>
    </row>
    <row r="7630" spans="1:4" x14ac:dyDescent="0.25">
      <c r="A7630" t="str">
        <f>T("   ZZ_Total_Produit_SH6")</f>
        <v xml:space="preserve">   ZZ_Total_Produit_SH6</v>
      </c>
      <c r="B7630" t="str">
        <f>T("   ZZ_Total_Produit_SH6")</f>
        <v xml:space="preserve">   ZZ_Total_Produit_SH6</v>
      </c>
      <c r="C7630">
        <v>2773803830</v>
      </c>
      <c r="D7630">
        <v>4652692</v>
      </c>
    </row>
    <row r="7631" spans="1:4" x14ac:dyDescent="0.25">
      <c r="A7631" t="str">
        <f>T("   200949")</f>
        <v xml:space="preserve">   200949</v>
      </c>
      <c r="B7631" t="str">
        <f>T("   JUS D'ANANAS, NON-FERMENTÉS, SANS ADDITION D'ALCOOL, AVEC OU SANS ADDITION DE SUCRE OU D'AUTRES ÉDULCORANTS, D'UNE VALEUR BRIX &gt; 20 À 20°C")</f>
        <v xml:space="preserve">   JUS D'ANANAS, NON-FERMENTÉS, SANS ADDITION D'ALCOOL, AVEC OU SANS ADDITION DE SUCRE OU D'AUTRES ÉDULCORANTS, D'UNE VALEUR BRIX &gt; 20 À 20°C</v>
      </c>
      <c r="C7631">
        <v>20000000</v>
      </c>
      <c r="D7631">
        <v>94070</v>
      </c>
    </row>
    <row r="7632" spans="1:4" x14ac:dyDescent="0.25">
      <c r="A7632" t="str">
        <f>T("   271019")</f>
        <v xml:space="preserve">   271019</v>
      </c>
      <c r="B7632" t="str">
        <f>T("   Huiles moyennes et préparations, de pétrole ou de minéraux bitumineux, n.d.a.")</f>
        <v xml:space="preserve">   Huiles moyennes et préparations, de pétrole ou de minéraux bitumineux, n.d.a.</v>
      </c>
      <c r="C7632">
        <v>24926</v>
      </c>
      <c r="D7632">
        <v>5</v>
      </c>
    </row>
    <row r="7633" spans="1:4" x14ac:dyDescent="0.25">
      <c r="A7633" t="str">
        <f>T("   290312")</f>
        <v xml:space="preserve">   290312</v>
      </c>
      <c r="B7633" t="str">
        <f>T("   Dichlorométhane [chlorure de méthylène]")</f>
        <v xml:space="preserve">   Dichlorométhane [chlorure de méthylène]</v>
      </c>
      <c r="C7633">
        <v>1502994</v>
      </c>
      <c r="D7633">
        <v>2650</v>
      </c>
    </row>
    <row r="7634" spans="1:4" x14ac:dyDescent="0.25">
      <c r="A7634" t="str">
        <f>T("   291590")</f>
        <v xml:space="preserve">   291590</v>
      </c>
      <c r="B7634" t="s">
        <v>68</v>
      </c>
      <c r="C7634">
        <v>629591</v>
      </c>
      <c r="D7634">
        <v>100</v>
      </c>
    </row>
    <row r="7635" spans="1:4" x14ac:dyDescent="0.25">
      <c r="A7635" t="str">
        <f>T("   300220")</f>
        <v xml:space="preserve">   300220</v>
      </c>
      <c r="B7635" t="str">
        <f>T("   Vaccins pour la médecine humaine")</f>
        <v xml:space="preserve">   Vaccins pour la médecine humaine</v>
      </c>
      <c r="C7635">
        <v>93630042</v>
      </c>
      <c r="D7635">
        <v>3765</v>
      </c>
    </row>
    <row r="7636" spans="1:4" x14ac:dyDescent="0.25">
      <c r="A7636" t="str">
        <f>T("   300620")</f>
        <v xml:space="preserve">   300620</v>
      </c>
      <c r="B7636" t="str">
        <f>T("   Réactifs destinés à la détermination des groupes ou des facteurs sanguins")</f>
        <v xml:space="preserve">   Réactifs destinés à la détermination des groupes ou des facteurs sanguins</v>
      </c>
      <c r="C7636">
        <v>3323334</v>
      </c>
      <c r="D7636">
        <v>135</v>
      </c>
    </row>
    <row r="7637" spans="1:4" x14ac:dyDescent="0.25">
      <c r="A7637" t="str">
        <f>T("   320417")</f>
        <v xml:space="preserve">   320417</v>
      </c>
      <c r="B7637" t="s">
        <v>90</v>
      </c>
      <c r="C7637">
        <v>263101</v>
      </c>
      <c r="D7637">
        <v>50</v>
      </c>
    </row>
    <row r="7638" spans="1:4" x14ac:dyDescent="0.25">
      <c r="A7638" t="str">
        <f>T("   392329")</f>
        <v xml:space="preserve">   392329</v>
      </c>
      <c r="B7638" t="str">
        <f>T("   Sacs, sachets, pochettes et cornets, en matières plastiques (autres que les polymères de l'éthylène)")</f>
        <v xml:space="preserve">   Sacs, sachets, pochettes et cornets, en matières plastiques (autres que les polymères de l'éthylène)</v>
      </c>
      <c r="C7638">
        <v>15087</v>
      </c>
      <c r="D7638">
        <v>30</v>
      </c>
    </row>
    <row r="7639" spans="1:4" x14ac:dyDescent="0.25">
      <c r="A7639" t="str">
        <f>T("   392330")</f>
        <v xml:space="preserve">   392330</v>
      </c>
      <c r="B7639" t="str">
        <f>T("   Bonbonnes, bouteilles, flacons et articles simil. pour le transport ou l'emballage, en matières plastiques")</f>
        <v xml:space="preserve">   Bonbonnes, bouteilles, flacons et articles simil. pour le transport ou l'emballage, en matières plastiques</v>
      </c>
      <c r="C7639">
        <v>50509</v>
      </c>
      <c r="D7639">
        <v>25</v>
      </c>
    </row>
    <row r="7640" spans="1:4" x14ac:dyDescent="0.25">
      <c r="A7640" t="str">
        <f>T("   392640")</f>
        <v xml:space="preserve">   392640</v>
      </c>
      <c r="B7640" t="str">
        <f>T("   Statuettes et autres objets d'ornementation, en matières plastiques")</f>
        <v xml:space="preserve">   Statuettes et autres objets d'ornementation, en matières plastiques</v>
      </c>
      <c r="C7640">
        <v>118000</v>
      </c>
      <c r="D7640">
        <v>106</v>
      </c>
    </row>
    <row r="7641" spans="1:4" x14ac:dyDescent="0.25">
      <c r="A7641" t="str">
        <f>T("   392690")</f>
        <v xml:space="preserve">   392690</v>
      </c>
      <c r="B7641" t="str">
        <f>T("   Ouvrages en matières plastiques et ouvrages en autres matières du n° 3901 à 3914, n.d.a.")</f>
        <v xml:space="preserve">   Ouvrages en matières plastiques et ouvrages en autres matières du n° 3901 à 3914, n.d.a.</v>
      </c>
      <c r="C7641">
        <v>524000</v>
      </c>
      <c r="D7641">
        <v>2620</v>
      </c>
    </row>
    <row r="7642" spans="1:4" x14ac:dyDescent="0.25">
      <c r="A7642" t="str">
        <f>T("   401031")</f>
        <v xml:space="preserve">   401031</v>
      </c>
      <c r="B7642" t="str">
        <f>T("   Courroies de transmission sans fin de section trapézoïdale, en caoutchouc vulcanisé, striées, d'une circonférence extérieure &gt; 60 cm mais &lt;= 180 cm")</f>
        <v xml:space="preserve">   Courroies de transmission sans fin de section trapézoïdale, en caoutchouc vulcanisé, striées, d'une circonférence extérieure &gt; 60 cm mais &lt;= 180 cm</v>
      </c>
      <c r="C7642">
        <v>51770</v>
      </c>
      <c r="D7642">
        <v>7</v>
      </c>
    </row>
    <row r="7643" spans="1:4" x14ac:dyDescent="0.25">
      <c r="A7643" t="str">
        <f>T("   401110")</f>
        <v xml:space="preserve">   401110</v>
      </c>
      <c r="B7643"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7643">
        <v>20053146</v>
      </c>
      <c r="D7643">
        <v>9976</v>
      </c>
    </row>
    <row r="7644" spans="1:4" x14ac:dyDescent="0.25">
      <c r="A7644" t="str">
        <f>T("   401120")</f>
        <v xml:space="preserve">   401120</v>
      </c>
      <c r="B7644"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7644">
        <v>24087465</v>
      </c>
      <c r="D7644">
        <v>12369</v>
      </c>
    </row>
    <row r="7645" spans="1:4" x14ac:dyDescent="0.25">
      <c r="A7645" t="str">
        <f>T("   420219")</f>
        <v xml:space="preserve">   420219</v>
      </c>
      <c r="B7645" t="s">
        <v>162</v>
      </c>
      <c r="C7645">
        <v>30199</v>
      </c>
      <c r="D7645">
        <v>50</v>
      </c>
    </row>
    <row r="7646" spans="1:4" x14ac:dyDescent="0.25">
      <c r="A7646" t="str">
        <f>T("   420229")</f>
        <v xml:space="preserve">   420229</v>
      </c>
      <c r="B7646"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7646">
        <v>49466793</v>
      </c>
      <c r="D7646">
        <v>89905</v>
      </c>
    </row>
    <row r="7647" spans="1:4" x14ac:dyDescent="0.25">
      <c r="A7647" t="str">
        <f>T("   480220")</f>
        <v xml:space="preserve">   480220</v>
      </c>
      <c r="B7647" t="str">
        <f>T("   Papiers et cartons supports pour papiers ou cartons photosensibles, sensibles à la chaleur ou électrosensibles, non couchés ni enduits, en rouleaux ou en feuilles de forme carrée ou rectangulaire, de tout format")</f>
        <v xml:space="preserve">   Papiers et cartons supports pour papiers ou cartons photosensibles, sensibles à la chaleur ou électrosensibles, non couchés ni enduits, en rouleaux ou en feuilles de forme carrée ou rectangulaire, de tout format</v>
      </c>
      <c r="C7647">
        <v>589601</v>
      </c>
      <c r="D7647">
        <v>123</v>
      </c>
    </row>
    <row r="7648" spans="1:4" x14ac:dyDescent="0.25">
      <c r="A7648" t="str">
        <f>T("   480990")</f>
        <v xml:space="preserve">   480990</v>
      </c>
      <c r="B7648" t="s">
        <v>206</v>
      </c>
      <c r="C7648">
        <v>443399</v>
      </c>
      <c r="D7648">
        <v>100</v>
      </c>
    </row>
    <row r="7649" spans="1:4" x14ac:dyDescent="0.25">
      <c r="A7649" t="str">
        <f>T("   481099")</f>
        <v xml:space="preserve">   481099</v>
      </c>
      <c r="B7649" t="s">
        <v>211</v>
      </c>
      <c r="C7649">
        <v>10333337</v>
      </c>
      <c r="D7649">
        <v>19766</v>
      </c>
    </row>
    <row r="7650" spans="1:4" x14ac:dyDescent="0.25">
      <c r="A7650" t="str">
        <f>T("   481920")</f>
        <v xml:space="preserve">   481920</v>
      </c>
      <c r="B7650" t="str">
        <f>T("   Boîtes et cartonnages, pliants, en papier ou en carton non ondulé")</f>
        <v xml:space="preserve">   Boîtes et cartonnages, pliants, en papier ou en carton non ondulé</v>
      </c>
      <c r="C7650">
        <v>83339</v>
      </c>
      <c r="D7650">
        <v>13</v>
      </c>
    </row>
    <row r="7651" spans="1:4" x14ac:dyDescent="0.25">
      <c r="A7651" t="str">
        <f>T("   490199")</f>
        <v xml:space="preserve">   490199</v>
      </c>
      <c r="B7651"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7651">
        <v>10744630</v>
      </c>
      <c r="D7651">
        <v>10040</v>
      </c>
    </row>
    <row r="7652" spans="1:4" x14ac:dyDescent="0.25">
      <c r="A7652" t="str">
        <f>T("   491110")</f>
        <v xml:space="preserve">   491110</v>
      </c>
      <c r="B7652" t="str">
        <f>T("   Imprimés publicitaires, catalogues commerciaux et simil.")</f>
        <v xml:space="preserve">   Imprimés publicitaires, catalogues commerciaux et simil.</v>
      </c>
      <c r="C7652">
        <v>11025</v>
      </c>
      <c r="D7652">
        <v>5</v>
      </c>
    </row>
    <row r="7653" spans="1:4" x14ac:dyDescent="0.25">
      <c r="A7653" t="str">
        <f>T("   520849")</f>
        <v xml:space="preserve">   520849</v>
      </c>
      <c r="B7653" t="str">
        <f>T("   Tissus de coton, en fils de diverses couleurs, contenant &gt;= 85% en poids de coton, d'un poids &lt;= 200 g/m² (à l'excl. des tissus à armure toile ou à armure sergé [y.c. le croisé] d'un rapport d'armure &lt;= 4)")</f>
        <v xml:space="preserve">   Tissus de coton, en fils de diverses couleurs, contenant &gt;= 85% en poids de coton, d'un poids &lt;= 200 g/m² (à l'excl. des tissus à armure toile ou à armure sergé [y.c. le croisé] d'un rapport d'armure &lt;= 4)</v>
      </c>
      <c r="C7653">
        <v>17000000</v>
      </c>
      <c r="D7653">
        <v>8000</v>
      </c>
    </row>
    <row r="7654" spans="1:4" x14ac:dyDescent="0.25">
      <c r="A7654" t="str">
        <f>T("   570190")</f>
        <v xml:space="preserve">   570190</v>
      </c>
      <c r="B7654" t="str">
        <f>T("   Tapis en matières textiles, à points noués ou enroulés, même confectionnés (à l'excl. des tapis de laine ou de poils fins)")</f>
        <v xml:space="preserve">   Tapis en matières textiles, à points noués ou enroulés, même confectionnés (à l'excl. des tapis de laine ou de poils fins)</v>
      </c>
      <c r="C7654">
        <v>50509</v>
      </c>
      <c r="D7654">
        <v>180</v>
      </c>
    </row>
    <row r="7655" spans="1:4" x14ac:dyDescent="0.25">
      <c r="A7655" t="str">
        <f>T("   570500")</f>
        <v xml:space="preserve">   570500</v>
      </c>
      <c r="B7655" t="str">
        <f>T("   Tapis et autres revêtements de sol en matières textiles, même confectionnés (à l'excl. à points noués ou enroulés, tissés, touffetés ou en feutre)")</f>
        <v xml:space="preserve">   Tapis et autres revêtements de sol en matières textiles, même confectionnés (à l'excl. à points noués ou enroulés, tissés, touffetés ou en feutre)</v>
      </c>
      <c r="C7655">
        <v>30175</v>
      </c>
      <c r="D7655">
        <v>70</v>
      </c>
    </row>
    <row r="7656" spans="1:4" x14ac:dyDescent="0.25">
      <c r="A7656" t="str">
        <f>T("   580190")</f>
        <v xml:space="preserve">   580190</v>
      </c>
      <c r="B7656" t="str">
        <f>T("   Velours et peluches tissés et tissus de chenille (à l'excl. des tissus bouclés du genre éponge, des surfaces textiles touffetées, des articles de rubanerie du n° 5806 et des articles de laine, de poils fins ou de fibres synthétiques ou artificielles)")</f>
        <v xml:space="preserve">   Velours et peluches tissés et tissus de chenille (à l'excl. des tissus bouclés du genre éponge, des surfaces textiles touffetées, des articles de rubanerie du n° 5806 et des articles de laine, de poils fins ou de fibres synthétiques ou artificielles)</v>
      </c>
      <c r="C7656">
        <v>12000000</v>
      </c>
      <c r="D7656">
        <v>3352</v>
      </c>
    </row>
    <row r="7657" spans="1:4" x14ac:dyDescent="0.25">
      <c r="A7657" t="str">
        <f>T("   580410")</f>
        <v xml:space="preserve">   580410</v>
      </c>
      <c r="B7657" t="str">
        <f>T("   Tulles, tulles-bobinots et tissus à mailles nouées")</f>
        <v xml:space="preserve">   Tulles, tulles-bobinots et tissus à mailles nouées</v>
      </c>
      <c r="C7657">
        <v>90000</v>
      </c>
      <c r="D7657">
        <v>90</v>
      </c>
    </row>
    <row r="7658" spans="1:4" x14ac:dyDescent="0.25">
      <c r="A7658" t="str">
        <f>T("   610990")</f>
        <v xml:space="preserve">   610990</v>
      </c>
      <c r="B7658" t="str">
        <f>T("   T-shirts et maillots de corps, en bonneterie, de matières textiles (sauf de coton)")</f>
        <v xml:space="preserve">   T-shirts et maillots de corps, en bonneterie, de matières textiles (sauf de coton)</v>
      </c>
      <c r="C7658">
        <v>7976</v>
      </c>
      <c r="D7658">
        <v>28</v>
      </c>
    </row>
    <row r="7659" spans="1:4" x14ac:dyDescent="0.25">
      <c r="A7659" t="str">
        <f>T("   611490")</f>
        <v xml:space="preserve">   611490</v>
      </c>
      <c r="B7659" t="str">
        <f>T("   Vêtements spéciaux destinés à des fins professionnelles, sportives ou autres n.d.a., en bonneterie, de matières textiles (sauf de laine, poils fins, coton, fibres synthétiques ou artificielles)")</f>
        <v xml:space="preserve">   Vêtements spéciaux destinés à des fins professionnelles, sportives ou autres n.d.a., en bonneterie, de matières textiles (sauf de laine, poils fins, coton, fibres synthétiques ou artificielles)</v>
      </c>
      <c r="C7659">
        <v>10496</v>
      </c>
      <c r="D7659">
        <v>50</v>
      </c>
    </row>
    <row r="7660" spans="1:4" x14ac:dyDescent="0.25">
      <c r="A7660" t="str">
        <f>T("   620319")</f>
        <v xml:space="preserve">   620319</v>
      </c>
      <c r="B7660" t="s">
        <v>265</v>
      </c>
      <c r="C7660">
        <v>34110</v>
      </c>
      <c r="D7660">
        <v>90</v>
      </c>
    </row>
    <row r="7661" spans="1:4" x14ac:dyDescent="0.25">
      <c r="A7661" t="str">
        <f>T("   620590")</f>
        <v xml:space="preserve">   620590</v>
      </c>
      <c r="B7661"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7661">
        <v>101018</v>
      </c>
      <c r="D7661">
        <v>110</v>
      </c>
    </row>
    <row r="7662" spans="1:4" x14ac:dyDescent="0.25">
      <c r="A7662" t="str">
        <f>T("   620990")</f>
        <v xml:space="preserve">   620990</v>
      </c>
      <c r="B7662" t="str">
        <f>T("   VÊTEMENTS ET ACCESSOIRES DU VÊTEMENT, DE MATIÈRES TEXTILES, POUR BÉBÉS (AUTRES QUE DE COTON, FIBRES SYNTHÉTIQUES, AUTRES QU'EN BONNETERIE ET SAUF BONNETS)")</f>
        <v xml:space="preserve">   VÊTEMENTS ET ACCESSOIRES DU VÊTEMENT, DE MATIÈRES TEXTILES, POUR BÉBÉS (AUTRES QUE DE COTON, FIBRES SYNTHÉTIQUES, AUTRES QU'EN BONNETERIE ET SAUF BONNETS)</v>
      </c>
      <c r="C7662">
        <v>200283</v>
      </c>
      <c r="D7662">
        <v>400</v>
      </c>
    </row>
    <row r="7663" spans="1:4" x14ac:dyDescent="0.25">
      <c r="A7663" t="str">
        <f>T("   630900")</f>
        <v xml:space="preserve">   630900</v>
      </c>
      <c r="B7663" t="s">
        <v>278</v>
      </c>
      <c r="C7663">
        <v>2300991447</v>
      </c>
      <c r="D7663">
        <v>4274027</v>
      </c>
    </row>
    <row r="7664" spans="1:4" x14ac:dyDescent="0.25">
      <c r="A7664" t="str">
        <f>T("   640191")</f>
        <v xml:space="preserve">   640191</v>
      </c>
      <c r="B7664" t="s">
        <v>279</v>
      </c>
      <c r="C7664">
        <v>270000</v>
      </c>
      <c r="D7664">
        <v>153</v>
      </c>
    </row>
    <row r="7665" spans="1:4" x14ac:dyDescent="0.25">
      <c r="A7665" t="str">
        <f>T("   660199")</f>
        <v xml:space="preserve">   660199</v>
      </c>
      <c r="B7665" t="str">
        <f>T("   Parapluies, y.c. les parapluies-cannes et ombrelles (sauf parapluies et ombrelles à mât ou à manche télescopique, parasols de jardin et articles simil. et sauf jouets d'enfants)")</f>
        <v xml:space="preserve">   Parapluies, y.c. les parapluies-cannes et ombrelles (sauf parapluies et ombrelles à mât ou à manche télescopique, parasols de jardin et articles simil. et sauf jouets d'enfants)</v>
      </c>
      <c r="C7665">
        <v>105610</v>
      </c>
      <c r="D7665">
        <v>85</v>
      </c>
    </row>
    <row r="7666" spans="1:4" x14ac:dyDescent="0.25">
      <c r="A7666" t="str">
        <f>T("   691090")</f>
        <v xml:space="preserve">   691090</v>
      </c>
      <c r="B7666" t="s">
        <v>313</v>
      </c>
      <c r="C7666">
        <v>50509</v>
      </c>
      <c r="D7666">
        <v>25</v>
      </c>
    </row>
    <row r="7667" spans="1:4" x14ac:dyDescent="0.25">
      <c r="A7667" t="str">
        <f>T("   700490")</f>
        <v xml:space="preserve">   700490</v>
      </c>
      <c r="B7667" t="str">
        <f>T("   FEUILLES EN VERRE ÉTIRÉ OU SOUFFLÉ MAIS NON AUTREMENT TRAVAILLÉ (AUTRES QU'EN VERRE COLORÉ DANS LA MASSE, OPACIFIÉ, PLAQUÉ [DOUBLÉ], OU À COUCHE ABSORBANTE, RÉFLÉCHISSANTE OU NON-RÉFLÉCHISSANTE)")</f>
        <v xml:space="preserve">   FEUILLES EN VERRE ÉTIRÉ OU SOUFFLÉ MAIS NON AUTREMENT TRAVAILLÉ (AUTRES QU'EN VERRE COLORÉ DANS LA MASSE, OPACIFIÉ, PLAQUÉ [DOUBLÉ], OU À COUCHE ABSORBANTE, RÉFLÉCHISSANTE OU NON-RÉFLÉCHISSANTE)</v>
      </c>
      <c r="C7667">
        <v>1379129</v>
      </c>
      <c r="D7667">
        <v>25000</v>
      </c>
    </row>
    <row r="7668" spans="1:4" x14ac:dyDescent="0.25">
      <c r="A7668" t="str">
        <f>T("   700711")</f>
        <v xml:space="preserve">   700711</v>
      </c>
      <c r="B7668" t="str">
        <f>T("   VERRES TREMPÉS DE DIMENSIONS ET FORMATS PERMETTANT LEUR EMPLOI DANS LES AUTOMOBILES, VÉHICULES AÉRIENS, BATEAUX OU AUTRES VÉHICULES [01/01/1988-31/12/1988: VERRES TREMPES, -DE SECURITE-, POUR AUTOMOBILES, AERODYNES, BATEAUX OU AUTRES VÉHICULES]")</f>
        <v xml:space="preserve">   VERRES TREMPÉS DE DIMENSIONS ET FORMATS PERMETTANT LEUR EMPLOI DANS LES AUTOMOBILES, VÉHICULES AÉRIENS, BATEAUX OU AUTRES VÉHICULES [01/01/1988-31/12/1988: VERRES TREMPES, -DE SECURITE-, POUR AUTOMOBILES, AERODYNES, BATEAUX OU AUTRES VÉHICULES]</v>
      </c>
      <c r="C7668">
        <v>171128</v>
      </c>
      <c r="D7668">
        <v>21</v>
      </c>
    </row>
    <row r="7669" spans="1:4" x14ac:dyDescent="0.25">
      <c r="A7669" t="str">
        <f>T("   702000")</f>
        <v xml:space="preserve">   702000</v>
      </c>
      <c r="B7669" t="str">
        <f>T("   Ouvrages en verre n.d.a.")</f>
        <v xml:space="preserve">   Ouvrages en verre n.d.a.</v>
      </c>
      <c r="C7669">
        <v>25583</v>
      </c>
      <c r="D7669">
        <v>25</v>
      </c>
    </row>
    <row r="7670" spans="1:4" x14ac:dyDescent="0.25">
      <c r="A7670" t="str">
        <f>T("   711790")</f>
        <v xml:space="preserve">   711790</v>
      </c>
      <c r="B7670" t="str">
        <f>T("   Bijouterie de fantaisie (autre qu'en métaux communs, même argentés, dorés ou platinés)")</f>
        <v xml:space="preserve">   Bijouterie de fantaisie (autre qu'en métaux communs, même argentés, dorés ou platinés)</v>
      </c>
      <c r="C7670">
        <v>1560401</v>
      </c>
      <c r="D7670">
        <v>525</v>
      </c>
    </row>
    <row r="7671" spans="1:4" x14ac:dyDescent="0.25">
      <c r="A7671" t="str">
        <f>T("   721790")</f>
        <v xml:space="preserve">   721790</v>
      </c>
      <c r="B7671" t="str">
        <f>T("   FILS EN FER OU EN ACIERS NON-ALLIÉS, ENROULÉS, REVÊTUS (À L'EXCL. DU FIL MACHINE AINSI QUE DES FILS REVÊTUS DE MÉTAUX COMMUNS)")</f>
        <v xml:space="preserve">   FILS EN FER OU EN ACIERS NON-ALLIÉS, ENROULÉS, REVÊTUS (À L'EXCL. DU FIL MACHINE AINSI QUE DES FILS REVÊTUS DE MÉTAUX COMMUNS)</v>
      </c>
      <c r="C7671">
        <v>20335</v>
      </c>
      <c r="D7671">
        <v>20</v>
      </c>
    </row>
    <row r="7672" spans="1:4" x14ac:dyDescent="0.25">
      <c r="A7672" t="str">
        <f>T("   840991")</f>
        <v xml:space="preserve">   840991</v>
      </c>
      <c r="B7672" t="str">
        <f>T("   Parties reconnaissables comme étant exclusivement ou principalement destinées aux moteurs à piston à allumage par étincelles, n.d.a.")</f>
        <v xml:space="preserve">   Parties reconnaissables comme étant exclusivement ou principalement destinées aux moteurs à piston à allumage par étincelles, n.d.a.</v>
      </c>
      <c r="C7672">
        <v>100664</v>
      </c>
      <c r="D7672">
        <v>12</v>
      </c>
    </row>
    <row r="7673" spans="1:4" x14ac:dyDescent="0.25">
      <c r="A7673" t="str">
        <f>T("   840999")</f>
        <v xml:space="preserve">   840999</v>
      </c>
      <c r="B7673"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7673">
        <v>405051</v>
      </c>
      <c r="D7673">
        <v>129</v>
      </c>
    </row>
    <row r="7674" spans="1:4" x14ac:dyDescent="0.25">
      <c r="A7674" t="str">
        <f>T("   841451")</f>
        <v xml:space="preserve">   841451</v>
      </c>
      <c r="B7674" t="str">
        <f>T("   Ventilateurs de table, de sol, muraux, plafonniers, de toitures ou de fenêtres, à moteur électrique incorporé, d'une puissance &lt;= 125 W")</f>
        <v xml:space="preserve">   Ventilateurs de table, de sol, muraux, plafonniers, de toitures ou de fenêtres, à moteur électrique incorporé, d'une puissance &lt;= 125 W</v>
      </c>
      <c r="C7674">
        <v>40265</v>
      </c>
      <c r="D7674">
        <v>30</v>
      </c>
    </row>
    <row r="7675" spans="1:4" x14ac:dyDescent="0.25">
      <c r="A7675" t="str">
        <f>T("   841459")</f>
        <v xml:space="preserve">   841459</v>
      </c>
      <c r="B7675" t="str">
        <f>T("   Ventilateurs (sauf ventilateurs de table, de sol, muraux, plafonniers, de toitures ou de fenêtres, à moteur électrique incorporé, d'une puissance &lt;= 125 W)")</f>
        <v xml:space="preserve">   Ventilateurs (sauf ventilateurs de table, de sol, muraux, plafonniers, de toitures ou de fenêtres, à moteur électrique incorporé, d'une puissance &lt;= 125 W)</v>
      </c>
      <c r="C7675">
        <v>150215</v>
      </c>
      <c r="D7675">
        <v>40</v>
      </c>
    </row>
    <row r="7676" spans="1:4" x14ac:dyDescent="0.25">
      <c r="A7676" t="str">
        <f>T("   841510")</f>
        <v xml:space="preserve">   841510</v>
      </c>
      <c r="B7676" t="s">
        <v>399</v>
      </c>
      <c r="C7676">
        <v>150215</v>
      </c>
      <c r="D7676">
        <v>75</v>
      </c>
    </row>
    <row r="7677" spans="1:4" x14ac:dyDescent="0.25">
      <c r="A7677" t="str">
        <f>T("   841829")</f>
        <v xml:space="preserve">   841829</v>
      </c>
      <c r="B7677" t="str">
        <f>T("   Réfrigérateurs ménagers à absorption, non-électriques")</f>
        <v xml:space="preserve">   Réfrigérateurs ménagers à absorption, non-électriques</v>
      </c>
      <c r="C7677">
        <v>371576</v>
      </c>
      <c r="D7677">
        <v>605</v>
      </c>
    </row>
    <row r="7678" spans="1:4" x14ac:dyDescent="0.25">
      <c r="A7678" t="str">
        <f>T("   841869")</f>
        <v xml:space="preserve">   841869</v>
      </c>
      <c r="B7678" t="str">
        <f>T("   Matériel, machines et appareils pour la production du froid ainsi que pompes à chaleur à absorption (autres que réfrigérateurs et meubles congélateurs-conservateurs)")</f>
        <v xml:space="preserve">   Matériel, machines et appareils pour la production du froid ainsi que pompes à chaleur à absorption (autres que réfrigérateurs et meubles congélateurs-conservateurs)</v>
      </c>
      <c r="C7678">
        <v>56413</v>
      </c>
      <c r="D7678">
        <v>55</v>
      </c>
    </row>
    <row r="7679" spans="1:4" x14ac:dyDescent="0.25">
      <c r="A7679" t="str">
        <f>T("   842123")</f>
        <v xml:space="preserve">   842123</v>
      </c>
      <c r="B7679" t="str">
        <f>T("   Appareils pour la filtration des huiles minérales et carburants pour les moteurs à allumage par étincelles ou par compression")</f>
        <v xml:space="preserve">   Appareils pour la filtration des huiles minérales et carburants pour les moteurs à allumage par étincelles ou par compression</v>
      </c>
      <c r="C7679">
        <v>1069909</v>
      </c>
      <c r="D7679">
        <v>130</v>
      </c>
    </row>
    <row r="7680" spans="1:4" x14ac:dyDescent="0.25">
      <c r="A7680" t="str">
        <f>T("   843790")</f>
        <v xml:space="preserve">   843790</v>
      </c>
      <c r="B7680" t="str">
        <f>T("   Parties de machines et appareils de minoterie ou pour le traitement des céréales ou légumes secs ou pour le nettoyage, le triage ou le criblage des grains ou des légumes secs, n.d.a.")</f>
        <v xml:space="preserve">   Parties de machines et appareils de minoterie ou pour le traitement des céréales ou légumes secs ou pour le nettoyage, le triage ou le criblage des grains ou des légumes secs, n.d.a.</v>
      </c>
      <c r="C7680">
        <v>354145</v>
      </c>
      <c r="D7680">
        <v>610</v>
      </c>
    </row>
    <row r="7681" spans="1:4" x14ac:dyDescent="0.25">
      <c r="A7681" t="str">
        <f>T("   845011")</f>
        <v xml:space="preserve">   845011</v>
      </c>
      <c r="B7681" t="str">
        <f>T("   Machines à laver le linge entièrement automatiques, d'une capacité unitaire exprimée en poids de linge sec &lt;= 6 kg")</f>
        <v xml:space="preserve">   Machines à laver le linge entièrement automatiques, d'une capacité unitaire exprimée en poids de linge sec &lt;= 6 kg</v>
      </c>
      <c r="C7681">
        <v>11014442</v>
      </c>
      <c r="D7681">
        <v>8300</v>
      </c>
    </row>
    <row r="7682" spans="1:4" x14ac:dyDescent="0.25">
      <c r="A7682" t="str">
        <f>T("   845019")</f>
        <v xml:space="preserve">   845019</v>
      </c>
      <c r="B7682" t="str">
        <f>T("   Machines à laver le linge d'une capacité unitaire exprimée en poids de linge sec &lt;= 6 kg (à l'excl. des machines entièrement automatiques et des machines à laver le linge avec essoreuse centrifuge incorporée)")</f>
        <v xml:space="preserve">   Machines à laver le linge d'une capacité unitaire exprimée en poids de linge sec &lt;= 6 kg (à l'excl. des machines entièrement automatiques et des machines à laver le linge avec essoreuse centrifuge incorporée)</v>
      </c>
      <c r="C7682">
        <v>75436</v>
      </c>
      <c r="D7682">
        <v>75</v>
      </c>
    </row>
    <row r="7683" spans="1:4" x14ac:dyDescent="0.25">
      <c r="A7683" t="str">
        <f>T("   845090")</f>
        <v xml:space="preserve">   845090</v>
      </c>
      <c r="B7683" t="str">
        <f>T("   Parties de machines à laver le linge, n.d.a.")</f>
        <v xml:space="preserve">   Parties de machines à laver le linge, n.d.a.</v>
      </c>
      <c r="C7683">
        <v>2703</v>
      </c>
      <c r="D7683">
        <v>62</v>
      </c>
    </row>
    <row r="7684" spans="1:4" x14ac:dyDescent="0.25">
      <c r="A7684" t="str">
        <f>T("   847130")</f>
        <v xml:space="preserve">   847130</v>
      </c>
      <c r="B7684" t="str">
        <f>T("   Machines automatiques de traitement de l'information numériques, portatives, d'un poids &lt;= 10 kg, comportant au moins une unité centrale de traitement, un clavier et un écran (à l'excl. des unités périphériques)")</f>
        <v xml:space="preserve">   Machines automatiques de traitement de l'information numériques, portatives, d'un poids &lt;= 10 kg, comportant au moins une unité centrale de traitement, un clavier et un écran (à l'excl. des unités périphériques)</v>
      </c>
      <c r="C7684">
        <v>50332</v>
      </c>
      <c r="D7684">
        <v>75</v>
      </c>
    </row>
    <row r="7685" spans="1:4" x14ac:dyDescent="0.25">
      <c r="A7685" t="str">
        <f>T("   847150")</f>
        <v xml:space="preserve">   847150</v>
      </c>
      <c r="B7685" t="s">
        <v>438</v>
      </c>
      <c r="C7685">
        <v>327980</v>
      </c>
      <c r="D7685">
        <v>75</v>
      </c>
    </row>
    <row r="7686" spans="1:4" x14ac:dyDescent="0.25">
      <c r="A7686" t="str">
        <f>T("   847180")</f>
        <v xml:space="preserve">   847180</v>
      </c>
      <c r="B7686"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7686">
        <v>100362</v>
      </c>
      <c r="D7686">
        <v>10</v>
      </c>
    </row>
    <row r="7687" spans="1:4" x14ac:dyDescent="0.25">
      <c r="A7687" t="str">
        <f>T("   847190")</f>
        <v xml:space="preserve">   847190</v>
      </c>
      <c r="B7687"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7687">
        <v>2643554</v>
      </c>
      <c r="D7687">
        <v>20</v>
      </c>
    </row>
    <row r="7688" spans="1:4" x14ac:dyDescent="0.25">
      <c r="A7688" t="str">
        <f>T("   848410")</f>
        <v xml:space="preserve">   848410</v>
      </c>
      <c r="B7688" t="str">
        <f>T("   Joints métalloplastiques")</f>
        <v xml:space="preserve">   Joints métalloplastiques</v>
      </c>
      <c r="C7688">
        <v>131821</v>
      </c>
      <c r="D7688">
        <v>16</v>
      </c>
    </row>
    <row r="7689" spans="1:4" x14ac:dyDescent="0.25">
      <c r="A7689" t="str">
        <f>T("   850710")</f>
        <v xml:space="preserve">   850710</v>
      </c>
      <c r="B7689" t="str">
        <f>T("   Accumulateurs au plomb, pour le démarrage des moteurs à piston (sauf hors d'usage)")</f>
        <v xml:space="preserve">   Accumulateurs au plomb, pour le démarrage des moteurs à piston (sauf hors d'usage)</v>
      </c>
      <c r="C7689">
        <v>23540577</v>
      </c>
      <c r="D7689">
        <v>16196</v>
      </c>
    </row>
    <row r="7690" spans="1:4" x14ac:dyDescent="0.25">
      <c r="A7690" t="str">
        <f>T("   851110")</f>
        <v xml:space="preserve">   851110</v>
      </c>
      <c r="B7690" t="str">
        <f>T("   Bougies d'allumage pour moteurs à allumage par étincelles ou par compression")</f>
        <v xml:space="preserve">   Bougies d'allumage pour moteurs à allumage par étincelles ou par compression</v>
      </c>
      <c r="C7690">
        <v>211873</v>
      </c>
      <c r="D7690">
        <v>26</v>
      </c>
    </row>
    <row r="7691" spans="1:4" x14ac:dyDescent="0.25">
      <c r="A7691" t="str">
        <f>T("   851220")</f>
        <v xml:space="preserve">   851220</v>
      </c>
      <c r="B7691" t="str">
        <f>T("   Appareils électriques d'éclairage ou de signalisation visuelle, pour automobiles (à l'excl. des lampes du n° 8539)")</f>
        <v xml:space="preserve">   Appareils électriques d'éclairage ou de signalisation visuelle, pour automobiles (à l'excl. des lampes du n° 8539)</v>
      </c>
      <c r="C7691">
        <v>387794</v>
      </c>
      <c r="D7691">
        <v>47</v>
      </c>
    </row>
    <row r="7692" spans="1:4" x14ac:dyDescent="0.25">
      <c r="A7692" t="str">
        <f>T("   851829")</f>
        <v xml:space="preserve">   851829</v>
      </c>
      <c r="B7692" t="str">
        <f>T("   Haut-parleurs sans enceinte")</f>
        <v xml:space="preserve">   Haut-parleurs sans enceinte</v>
      </c>
      <c r="C7692">
        <v>76092</v>
      </c>
      <c r="D7692">
        <v>50</v>
      </c>
    </row>
    <row r="7693" spans="1:4" x14ac:dyDescent="0.25">
      <c r="A7693" t="str">
        <f>T("   852530")</f>
        <v xml:space="preserve">   852530</v>
      </c>
      <c r="B7693" t="str">
        <f>T("   Caméras de télévision (à l'excl. de caméscopes)")</f>
        <v xml:space="preserve">   Caméras de télévision (à l'excl. de caméscopes)</v>
      </c>
      <c r="C7693">
        <v>934733</v>
      </c>
      <c r="D7693">
        <v>3</v>
      </c>
    </row>
    <row r="7694" spans="1:4" x14ac:dyDescent="0.25">
      <c r="A7694" t="str">
        <f>T("   852812")</f>
        <v xml:space="preserve">   852812</v>
      </c>
      <c r="B7694"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7694">
        <v>1648078</v>
      </c>
      <c r="D7694">
        <v>3374</v>
      </c>
    </row>
    <row r="7695" spans="1:4" x14ac:dyDescent="0.25">
      <c r="A7695" t="str">
        <f>T("   852821")</f>
        <v xml:space="preserve">   852821</v>
      </c>
      <c r="B7695" t="str">
        <f>T("   Moniteurs vidéo en couleurs")</f>
        <v xml:space="preserve">   Moniteurs vidéo en couleurs</v>
      </c>
      <c r="C7695">
        <v>75915</v>
      </c>
      <c r="D7695">
        <v>70</v>
      </c>
    </row>
    <row r="7696" spans="1:4" x14ac:dyDescent="0.25">
      <c r="A7696" t="str">
        <f>T("   870322")</f>
        <v xml:space="preserve">   870322</v>
      </c>
      <c r="B7696" t="s">
        <v>480</v>
      </c>
      <c r="C7696">
        <v>9463641</v>
      </c>
      <c r="D7696">
        <v>2492</v>
      </c>
    </row>
    <row r="7697" spans="1:4" x14ac:dyDescent="0.25">
      <c r="A7697" t="str">
        <f>T("   870323")</f>
        <v xml:space="preserve">   870323</v>
      </c>
      <c r="B7697" t="s">
        <v>481</v>
      </c>
      <c r="C7697">
        <v>90667853</v>
      </c>
      <c r="D7697">
        <v>20121</v>
      </c>
    </row>
    <row r="7698" spans="1:4" x14ac:dyDescent="0.25">
      <c r="A7698" t="str">
        <f>T("   870324")</f>
        <v xml:space="preserve">   870324</v>
      </c>
      <c r="B7698" t="s">
        <v>482</v>
      </c>
      <c r="C7698">
        <v>24256549</v>
      </c>
      <c r="D7698">
        <v>3785</v>
      </c>
    </row>
    <row r="7699" spans="1:4" x14ac:dyDescent="0.25">
      <c r="A7699" t="str">
        <f>T("   870421")</f>
        <v xml:space="preserve">   870421</v>
      </c>
      <c r="B7699" t="s">
        <v>486</v>
      </c>
      <c r="C7699">
        <v>1200000</v>
      </c>
      <c r="D7699">
        <v>3720</v>
      </c>
    </row>
    <row r="7700" spans="1:4" x14ac:dyDescent="0.25">
      <c r="A7700" t="str">
        <f>T("   870899")</f>
        <v xml:space="preserve">   870899</v>
      </c>
      <c r="B7700"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7700">
        <v>18831610</v>
      </c>
      <c r="D7700">
        <v>1553</v>
      </c>
    </row>
    <row r="7701" spans="1:4" x14ac:dyDescent="0.25">
      <c r="A7701" t="str">
        <f>T("   871419")</f>
        <v xml:space="preserve">   871419</v>
      </c>
      <c r="B7701" t="str">
        <f>T("   Parties et accessoires de motocycles, y.c. de cyclomoteurs, n.d.a.")</f>
        <v xml:space="preserve">   Parties et accessoires de motocycles, y.c. de cyclomoteurs, n.d.a.</v>
      </c>
      <c r="C7701">
        <v>290909</v>
      </c>
      <c r="D7701">
        <v>238</v>
      </c>
    </row>
    <row r="7702" spans="1:4" x14ac:dyDescent="0.25">
      <c r="A7702" t="str">
        <f>T("   890190")</f>
        <v xml:space="preserve">   890190</v>
      </c>
      <c r="B7702" t="str">
        <f>T("   Cargos et bateaux pour le transport de personnes et de marchandises (autres que bateaux frigorifiques, bateaux-citernes, cargos et bateaux destinés essentiellement au transport des personnes)")</f>
        <v xml:space="preserve">   Cargos et bateaux pour le transport de personnes et de marchandises (autres que bateaux frigorifiques, bateaux-citernes, cargos et bateaux destinés essentiellement au transport des personnes)</v>
      </c>
      <c r="C7702">
        <v>1455990</v>
      </c>
      <c r="D7702">
        <v>196</v>
      </c>
    </row>
    <row r="7703" spans="1:4" x14ac:dyDescent="0.25">
      <c r="A7703" t="str">
        <f>T("   901890")</f>
        <v xml:space="preserve">   901890</v>
      </c>
      <c r="B7703" t="str">
        <f>T("   Instruments et appareils pour la médecine, la chirurgie ou l'art vétérinaire, n.d.a.")</f>
        <v xml:space="preserve">   Instruments et appareils pour la médecine, la chirurgie ou l'art vétérinaire, n.d.a.</v>
      </c>
      <c r="C7703">
        <v>2661456</v>
      </c>
      <c r="D7703">
        <v>154</v>
      </c>
    </row>
    <row r="7704" spans="1:4" x14ac:dyDescent="0.25">
      <c r="A7704" t="str">
        <f>T("   903190")</f>
        <v xml:space="preserve">   903190</v>
      </c>
      <c r="B7704" t="str">
        <f>T("   Parties et accessoires des instruments, appareils et machines de mesure ou de contrôle, n.d.a.")</f>
        <v xml:space="preserve">   Parties et accessoires des instruments, appareils et machines de mesure ou de contrôle, n.d.a.</v>
      </c>
      <c r="C7704">
        <v>100184</v>
      </c>
      <c r="D7704">
        <v>12</v>
      </c>
    </row>
    <row r="7705" spans="1:4" x14ac:dyDescent="0.25">
      <c r="A7705" t="str">
        <f>T("   910229")</f>
        <v xml:space="preserve">   910229</v>
      </c>
      <c r="B7705" t="str">
        <f>T("   Montres-bracelets, même incorporant un compteur de temps, à remontage exclusivement manuel (autres que celles en métaux précieux ou en plaqués ou doublés de métaux précieux)")</f>
        <v xml:space="preserve">   Montres-bracelets, même incorporant un compteur de temps, à remontage exclusivement manuel (autres que celles en métaux précieux ou en plaqués ou doublés de métaux précieux)</v>
      </c>
      <c r="C7705">
        <v>300000</v>
      </c>
      <c r="D7705">
        <v>300</v>
      </c>
    </row>
    <row r="7706" spans="1:4" x14ac:dyDescent="0.25">
      <c r="A7706" t="str">
        <f>T("   940360")</f>
        <v xml:space="preserve">   940360</v>
      </c>
      <c r="B7706" t="str">
        <f>T("   Meubles en bois (autres que pour bureaux, cuisines ou chambres à coucher et autres que sièges)")</f>
        <v xml:space="preserve">   Meubles en bois (autres que pour bureaux, cuisines ou chambres à coucher et autres que sièges)</v>
      </c>
      <c r="C7706">
        <v>75258</v>
      </c>
      <c r="D7706">
        <v>35</v>
      </c>
    </row>
    <row r="7707" spans="1:4" x14ac:dyDescent="0.25">
      <c r="A7707" t="str">
        <f>T("   940370")</f>
        <v xml:space="preserve">   940370</v>
      </c>
      <c r="B7707" t="str">
        <f>T("   Meubles en matières plastiques (autres que pour la médecine, l'art dentaire et vétérinaire, la chirurgie et autres que sièges)")</f>
        <v xml:space="preserve">   Meubles en matières plastiques (autres que pour la médecine, l'art dentaire et vétérinaire, la chirurgie et autres que sièges)</v>
      </c>
      <c r="C7707">
        <v>15339</v>
      </c>
      <c r="D7707">
        <v>10</v>
      </c>
    </row>
    <row r="7708" spans="1:4" x14ac:dyDescent="0.25">
      <c r="A7708" t="str">
        <f>T("   940380")</f>
        <v xml:space="preserve">   940380</v>
      </c>
      <c r="B7708" t="str">
        <f>T("   Meubles en rotin, osier, bambou ou autres matières (sauf métal, bois et matières plastiques)")</f>
        <v xml:space="preserve">   Meubles en rotin, osier, bambou ou autres matières (sauf métal, bois et matières plastiques)</v>
      </c>
      <c r="C7708">
        <v>4835987</v>
      </c>
      <c r="D7708">
        <v>10641</v>
      </c>
    </row>
    <row r="7709" spans="1:4" x14ac:dyDescent="0.25">
      <c r="A7709" t="str">
        <f>T("   950390")</f>
        <v xml:space="preserve">   950390</v>
      </c>
      <c r="B7709" t="str">
        <f>T("   Jouets, n.d.a.")</f>
        <v xml:space="preserve">   Jouets, n.d.a.</v>
      </c>
      <c r="C7709">
        <v>50509</v>
      </c>
      <c r="D7709">
        <v>25</v>
      </c>
    </row>
    <row r="7710" spans="1:4" x14ac:dyDescent="0.25">
      <c r="A7710" t="str">
        <f>T("   950662")</f>
        <v xml:space="preserve">   950662</v>
      </c>
      <c r="B7710" t="str">
        <f>T("   Ballons et balles gonflables")</f>
        <v xml:space="preserve">   Ballons et balles gonflables</v>
      </c>
      <c r="C7710">
        <v>8149</v>
      </c>
      <c r="D7710">
        <v>4</v>
      </c>
    </row>
    <row r="7711" spans="1:4" x14ac:dyDescent="0.25">
      <c r="A7711" t="str">
        <f>T("   960990")</f>
        <v xml:space="preserve">   960990</v>
      </c>
      <c r="B7711" t="str">
        <f>T("   Crayons (sauf crayons à gaine), pastels, fusains, craies à écrire ou à dessiner et craies de tailleurs")</f>
        <v xml:space="preserve">   Crayons (sauf crayons à gaine), pastels, fusains, craies à écrire ou à dessiner et craies de tailleurs</v>
      </c>
      <c r="C7711">
        <v>5595254</v>
      </c>
      <c r="D7711">
        <v>21160</v>
      </c>
    </row>
    <row r="7712" spans="1:4" x14ac:dyDescent="0.25">
      <c r="A7712" t="str">
        <f>T("KW")</f>
        <v>KW</v>
      </c>
      <c r="B7712" t="str">
        <f>T("Koweit")</f>
        <v>Koweit</v>
      </c>
    </row>
    <row r="7713" spans="1:4" x14ac:dyDescent="0.25">
      <c r="A7713" t="str">
        <f>T("   ZZ_Total_Produit_SH6")</f>
        <v xml:space="preserve">   ZZ_Total_Produit_SH6</v>
      </c>
      <c r="B7713" t="str">
        <f>T("   ZZ_Total_Produit_SH6")</f>
        <v xml:space="preserve">   ZZ_Total_Produit_SH6</v>
      </c>
      <c r="C7713">
        <v>26025543</v>
      </c>
      <c r="D7713">
        <v>73472</v>
      </c>
    </row>
    <row r="7714" spans="1:4" x14ac:dyDescent="0.25">
      <c r="A7714" t="str">
        <f>T("   020712")</f>
        <v xml:space="preserve">   020712</v>
      </c>
      <c r="B7714" t="str">
        <f>T("   COQS ET POULES [DES ESPÈCES DOMESTIQUES], NON-DÉCOUPÉS EN MORCEAUX, CONGELÉS")</f>
        <v xml:space="preserve">   COQS ET POULES [DES ESPÈCES DOMESTIQUES], NON-DÉCOUPÉS EN MORCEAUX, CONGELÉS</v>
      </c>
      <c r="C7714">
        <v>15000493</v>
      </c>
      <c r="D7714">
        <v>25002</v>
      </c>
    </row>
    <row r="7715" spans="1:4" x14ac:dyDescent="0.25">
      <c r="A7715" t="str">
        <f>T("   100630")</f>
        <v xml:space="preserve">   100630</v>
      </c>
      <c r="B7715" t="str">
        <f>T("   Riz semi-blanchi ou blanchi, même poli ou glacé")</f>
        <v xml:space="preserve">   Riz semi-blanchi ou blanchi, même poli ou glacé</v>
      </c>
      <c r="C7715">
        <v>300000</v>
      </c>
      <c r="D7715">
        <v>1000</v>
      </c>
    </row>
    <row r="7716" spans="1:4" x14ac:dyDescent="0.25">
      <c r="A7716" t="str">
        <f>T("   401211")</f>
        <v xml:space="preserve">   401211</v>
      </c>
      <c r="B7716" t="str">
        <f>T("   Pneumatiques rechapés, en caoutchouc, des types utilisés pour les voitures de tourisme, y.c. les voitures du type 'break' et les voitures de course")</f>
        <v xml:space="preserve">   Pneumatiques rechapés, en caoutchouc, des types utilisés pour les voitures de tourisme, y.c. les voitures du type 'break' et les voitures de course</v>
      </c>
      <c r="C7716">
        <v>314000</v>
      </c>
      <c r="D7716">
        <v>2000</v>
      </c>
    </row>
    <row r="7717" spans="1:4" x14ac:dyDescent="0.25">
      <c r="A7717" t="str">
        <f>T("   621040")</f>
        <v xml:space="preserve">   621040</v>
      </c>
      <c r="B7717" t="s">
        <v>271</v>
      </c>
      <c r="C7717">
        <v>200000</v>
      </c>
      <c r="D7717">
        <v>1750</v>
      </c>
    </row>
    <row r="7718" spans="1:4" x14ac:dyDescent="0.25">
      <c r="A7718" t="str">
        <f>T("   630900")</f>
        <v xml:space="preserve">   630900</v>
      </c>
      <c r="B7718" t="s">
        <v>278</v>
      </c>
      <c r="C7718">
        <v>7190250</v>
      </c>
      <c r="D7718">
        <v>20470</v>
      </c>
    </row>
    <row r="7719" spans="1:4" x14ac:dyDescent="0.25">
      <c r="A7719" t="str">
        <f>T("   845210")</f>
        <v xml:space="preserve">   845210</v>
      </c>
      <c r="B7719" t="str">
        <f>T("   Machines à coudre de type ménager")</f>
        <v xml:space="preserve">   Machines à coudre de type ménager</v>
      </c>
      <c r="C7719">
        <v>303400</v>
      </c>
      <c r="D7719">
        <v>3750</v>
      </c>
    </row>
    <row r="7720" spans="1:4" x14ac:dyDescent="0.25">
      <c r="A7720" t="str">
        <f>T("   852813")</f>
        <v xml:space="preserve">   852813</v>
      </c>
      <c r="B7720" t="str">
        <f>T("   Appareils récepteurs pour la télévision en noir et blanc ou en autres monochromes, même incorporant un appareil récepteur de radiodiffusion ou un appareil d'enregistrement ou de reproduction du son ou des images")</f>
        <v xml:space="preserve">   Appareils récepteurs pour la télévision en noir et blanc ou en autres monochromes, même incorporant un appareil récepteur de radiodiffusion ou un appareil d'enregistrement ou de reproduction du son ou des images</v>
      </c>
      <c r="C7720">
        <v>300000</v>
      </c>
      <c r="D7720">
        <v>1750</v>
      </c>
    </row>
    <row r="7721" spans="1:4" x14ac:dyDescent="0.25">
      <c r="A7721" t="str">
        <f>T("   940380")</f>
        <v xml:space="preserve">   940380</v>
      </c>
      <c r="B7721" t="str">
        <f>T("   Meubles en rotin, osier, bambou ou autres matières (sauf métal, bois et matières plastiques)")</f>
        <v xml:space="preserve">   Meubles en rotin, osier, bambou ou autres matières (sauf métal, bois et matières plastiques)</v>
      </c>
      <c r="C7721">
        <v>1917400</v>
      </c>
      <c r="D7721">
        <v>14000</v>
      </c>
    </row>
    <row r="7722" spans="1:4" x14ac:dyDescent="0.25">
      <c r="A7722" t="str">
        <f>T("   950370")</f>
        <v xml:space="preserve">   950370</v>
      </c>
      <c r="B7722" t="str">
        <f>T("   Jouets présentés en assortiments ou en panoplies (sauf trains électriques, y.c. accessoires, sauf modèles réduits à assembler, cubes et jeux de construction et puzzles)")</f>
        <v xml:space="preserve">   Jouets présentés en assortiments ou en panoplies (sauf trains électriques, y.c. accessoires, sauf modèles réduits à assembler, cubes et jeux de construction et puzzles)</v>
      </c>
      <c r="C7722">
        <v>500000</v>
      </c>
      <c r="D7722">
        <v>3750</v>
      </c>
    </row>
    <row r="7723" spans="1:4" x14ac:dyDescent="0.25">
      <c r="A7723" t="str">
        <f>T("KY")</f>
        <v>KY</v>
      </c>
      <c r="B7723" t="str">
        <f>T("Caïmans, îles")</f>
        <v>Caïmans, îles</v>
      </c>
    </row>
    <row r="7724" spans="1:4" x14ac:dyDescent="0.25">
      <c r="A7724" t="str">
        <f>T("   ZZ_Total_Produit_SH6")</f>
        <v xml:space="preserve">   ZZ_Total_Produit_SH6</v>
      </c>
      <c r="B7724" t="str">
        <f>T("   ZZ_Total_Produit_SH6")</f>
        <v xml:space="preserve">   ZZ_Total_Produit_SH6</v>
      </c>
      <c r="C7724">
        <v>2000000</v>
      </c>
      <c r="D7724">
        <v>49320</v>
      </c>
    </row>
    <row r="7725" spans="1:4" x14ac:dyDescent="0.25">
      <c r="A7725" t="str">
        <f>T("   300290")</f>
        <v xml:space="preserve">   300290</v>
      </c>
      <c r="B7725" t="str">
        <f>T("   Sang humain; sang animal préparé en vue d'usages thérapeutiques, prophylactiques ou de diagnostic; toxines, cultures de micro-organismes et produits simil. (à l'excl. des levures et des vaccins)")</f>
        <v xml:space="preserve">   Sang humain; sang animal préparé en vue d'usages thérapeutiques, prophylactiques ou de diagnostic; toxines, cultures de micro-organismes et produits simil. (à l'excl. des levures et des vaccins)</v>
      </c>
      <c r="C7725">
        <v>2000000</v>
      </c>
      <c r="D7725">
        <v>49320</v>
      </c>
    </row>
    <row r="7726" spans="1:4" x14ac:dyDescent="0.25">
      <c r="A7726" t="str">
        <f>T("LB")</f>
        <v>LB</v>
      </c>
      <c r="B7726" t="str">
        <f>T("Liban")</f>
        <v>Liban</v>
      </c>
    </row>
    <row r="7727" spans="1:4" x14ac:dyDescent="0.25">
      <c r="A7727" t="str">
        <f>T("   ZZ_Total_Produit_SH6")</f>
        <v xml:space="preserve">   ZZ_Total_Produit_SH6</v>
      </c>
      <c r="B7727" t="str">
        <f>T("   ZZ_Total_Produit_SH6")</f>
        <v xml:space="preserve">   ZZ_Total_Produit_SH6</v>
      </c>
      <c r="C7727">
        <v>2130706250.8299999</v>
      </c>
      <c r="D7727">
        <v>2964237.75</v>
      </c>
    </row>
    <row r="7728" spans="1:4" x14ac:dyDescent="0.25">
      <c r="A7728" t="str">
        <f>T("   021099")</f>
        <v xml:space="preserve">   021099</v>
      </c>
      <c r="B7728" t="s">
        <v>14</v>
      </c>
      <c r="C7728">
        <v>1145391</v>
      </c>
      <c r="D7728">
        <v>1972</v>
      </c>
    </row>
    <row r="7729" spans="1:4" x14ac:dyDescent="0.25">
      <c r="A7729" t="str">
        <f>T("   030349")</f>
        <v xml:space="preserve">   030349</v>
      </c>
      <c r="B7729" t="str">
        <f>T("   Thons du genre 'Thunnus', congelés (à l'excl. des thons des espèces 'Thunnus alalunga, Thunnus albacares, Thunnus obesus, Thunnus thynnus et Thunnus maccoyii')")</f>
        <v xml:space="preserve">   Thons du genre 'Thunnus', congelés (à l'excl. des thons des espèces 'Thunnus alalunga, Thunnus albacares, Thunnus obesus, Thunnus thynnus et Thunnus maccoyii')</v>
      </c>
      <c r="C7729">
        <v>571915</v>
      </c>
      <c r="D7729">
        <v>1485</v>
      </c>
    </row>
    <row r="7730" spans="1:4" x14ac:dyDescent="0.25">
      <c r="A7730" t="str">
        <f>T("   040229")</f>
        <v xml:space="preserve">   040229</v>
      </c>
      <c r="B7730" t="str">
        <f>T("   Lait et crème de lait, en poudre, en granulés ou sous d'autres formes solides, d'une teneur en poids de matières grasses &gt; 1,5%, avec addition de sucre ou d'autres édulcorants")</f>
        <v xml:space="preserve">   Lait et crème de lait, en poudre, en granulés ou sous d'autres formes solides, d'une teneur en poids de matières grasses &gt; 1,5%, avec addition de sucre ou d'autres édulcorants</v>
      </c>
      <c r="C7730">
        <v>3753</v>
      </c>
      <c r="D7730">
        <v>5</v>
      </c>
    </row>
    <row r="7731" spans="1:4" x14ac:dyDescent="0.25">
      <c r="A7731" t="str">
        <f>T("   040291")</f>
        <v xml:space="preserve">   040291</v>
      </c>
      <c r="B7731" t="str">
        <f>T("   Lait et crème de lait, concentrés, sans addition de sucre ou d'autres édulcorants (à l'excl. des laits et crèmes de lait en poudre, en granulés ou sous d'autres formes solides)")</f>
        <v xml:space="preserve">   Lait et crème de lait, concentrés, sans addition de sucre ou d'autres édulcorants (à l'excl. des laits et crèmes de lait en poudre, en granulés ou sous d'autres formes solides)</v>
      </c>
      <c r="C7731">
        <v>104499</v>
      </c>
      <c r="D7731">
        <v>350</v>
      </c>
    </row>
    <row r="7732" spans="1:4" x14ac:dyDescent="0.25">
      <c r="A7732" t="str">
        <f>T("   040310")</f>
        <v xml:space="preserve">   040310</v>
      </c>
      <c r="B7732" t="str">
        <f>T("   Yoghourts, même additionnés de sucre ou d'autres édulcorants ou aromatisés ou additionnés de fruits ou de cacao")</f>
        <v xml:space="preserve">   Yoghourts, même additionnés de sucre ou d'autres édulcorants ou aromatisés ou additionnés de fruits ou de cacao</v>
      </c>
      <c r="C7732">
        <v>278750</v>
      </c>
      <c r="D7732">
        <v>1410</v>
      </c>
    </row>
    <row r="7733" spans="1:4" x14ac:dyDescent="0.25">
      <c r="A7733" t="str">
        <f>T("   040390")</f>
        <v xml:space="preserve">   040390</v>
      </c>
      <c r="B7733" t="str">
        <f>T("   Babeurre, lait et crème caillés, képhir et autres laits et crèmes fermentés ou acidifiés, même concentrés ou additionnés de sucre ou d'autres édulcorants ou aromatisés ou additionnés de fruits ou de cacao (à l'excl. des yoghourts)")</f>
        <v xml:space="preserve">   Babeurre, lait et crème caillés, képhir et autres laits et crèmes fermentés ou acidifiés, même concentrés ou additionnés de sucre ou d'autres édulcorants ou aromatisés ou additionnés de fruits ou de cacao (à l'excl. des yoghourts)</v>
      </c>
      <c r="C7733">
        <v>216133</v>
      </c>
      <c r="D7733">
        <v>1363</v>
      </c>
    </row>
    <row r="7734" spans="1:4" x14ac:dyDescent="0.25">
      <c r="A7734" t="str">
        <f>T("   040590")</f>
        <v xml:space="preserve">   040590</v>
      </c>
      <c r="B7734" t="str">
        <f>T("   Matières grasses provenant du lait ainsi que beurre déshydraté et ghee (à l'excl. du beurre naturel, du beurre recombiné et du beurre de lactosérum)")</f>
        <v xml:space="preserve">   Matières grasses provenant du lait ainsi que beurre déshydraté et ghee (à l'excl. du beurre naturel, du beurre recombiné et du beurre de lactosérum)</v>
      </c>
      <c r="C7734">
        <v>7190</v>
      </c>
      <c r="D7734">
        <v>34</v>
      </c>
    </row>
    <row r="7735" spans="1:4" x14ac:dyDescent="0.25">
      <c r="A7735" t="str">
        <f>T("   040610")</f>
        <v xml:space="preserve">   040610</v>
      </c>
      <c r="B7735" t="str">
        <f>T("   FROMAGES FRAIS [NON-AFFINÉS], Y.C. LE FROMAGE DE LACTOSÉRUM, ET CAILLEBOTTE [01/01/1988-31/12/1991: FROMAGES FRAIS [NON AFFINES], Y.C. LE FROMAGE DE LACTOSERUM, NON FERMENTES, ET CAILLEBOTTE]")</f>
        <v xml:space="preserve">   FROMAGES FRAIS [NON-AFFINÉS], Y.C. LE FROMAGE DE LACTOSÉRUM, ET CAILLEBOTTE [01/01/1988-31/12/1991: FROMAGES FRAIS [NON AFFINES], Y.C. LE FROMAGE DE LACTOSERUM, NON FERMENTES, ET CAILLEBOTTE]</v>
      </c>
      <c r="C7735">
        <v>7355626</v>
      </c>
      <c r="D7735">
        <v>12417</v>
      </c>
    </row>
    <row r="7736" spans="1:4" x14ac:dyDescent="0.25">
      <c r="A7736" t="str">
        <f>T("   040630")</f>
        <v xml:space="preserve">   040630</v>
      </c>
      <c r="B7736" t="str">
        <f>T("   Fromages fondus (à l'excl. des fromages râpés ou en poudre)")</f>
        <v xml:space="preserve">   Fromages fondus (à l'excl. des fromages râpés ou en poudre)</v>
      </c>
      <c r="C7736">
        <v>338623</v>
      </c>
      <c r="D7736">
        <v>816</v>
      </c>
    </row>
    <row r="7737" spans="1:4" x14ac:dyDescent="0.25">
      <c r="A7737" t="str">
        <f>T("   040690")</f>
        <v xml:space="preserve">   040690</v>
      </c>
      <c r="B7737" t="s">
        <v>18</v>
      </c>
      <c r="C7737">
        <v>1643606</v>
      </c>
      <c r="D7737">
        <v>8773</v>
      </c>
    </row>
    <row r="7738" spans="1:4" x14ac:dyDescent="0.25">
      <c r="A7738" t="str">
        <f>T("   060499")</f>
        <v xml:space="preserve">   060499</v>
      </c>
      <c r="B7738" t="str">
        <f>T("   Feuillages, feuilles, rameaux et autres parties de plantes, sans fleurs ni boutons de fleurs, et herbes, pour bouquets ou pour ornements, séchés, blanchis, teints, imprégnés ou autrement travaillés")</f>
        <v xml:space="preserve">   Feuillages, feuilles, rameaux et autres parties de plantes, sans fleurs ni boutons de fleurs, et herbes, pour bouquets ou pour ornements, séchés, blanchis, teints, imprégnés ou autrement travaillés</v>
      </c>
      <c r="C7738">
        <v>297090</v>
      </c>
      <c r="D7738">
        <v>1090</v>
      </c>
    </row>
    <row r="7739" spans="1:4" x14ac:dyDescent="0.25">
      <c r="A7739" t="str">
        <f>T("   071320")</f>
        <v xml:space="preserve">   071320</v>
      </c>
      <c r="B7739" t="str">
        <f>T("   Pois chiches, secs, écossés, même décortiqués ou cassés")</f>
        <v xml:space="preserve">   Pois chiches, secs, écossés, même décortiqués ou cassés</v>
      </c>
      <c r="C7739">
        <v>5108936</v>
      </c>
      <c r="D7739">
        <v>17451</v>
      </c>
    </row>
    <row r="7740" spans="1:4" x14ac:dyDescent="0.25">
      <c r="A7740" t="str">
        <f>T("   071340")</f>
        <v xml:space="preserve">   071340</v>
      </c>
      <c r="B7740" t="str">
        <f>T("   Lentilles, séchées, écossées, même décortiquées ou cassées")</f>
        <v xml:space="preserve">   Lentilles, séchées, écossées, même décortiquées ou cassées</v>
      </c>
      <c r="C7740">
        <v>2230758</v>
      </c>
      <c r="D7740">
        <v>11750</v>
      </c>
    </row>
    <row r="7741" spans="1:4" x14ac:dyDescent="0.25">
      <c r="A7741" t="str">
        <f>T("   071350")</f>
        <v xml:space="preserve">   071350</v>
      </c>
      <c r="B7741" t="str">
        <f>T("   Fèves 'Vicia faba var. major' et féveroles 'Vicia faba var. equina et Vicia faba var. minor', séchées, écossées, même décortiquées ou cassées")</f>
        <v xml:space="preserve">   Fèves 'Vicia faba var. major' et féveroles 'Vicia faba var. equina et Vicia faba var. minor', séchées, écossées, même décortiquées ou cassées</v>
      </c>
      <c r="C7741">
        <v>123787</v>
      </c>
      <c r="D7741">
        <v>2040</v>
      </c>
    </row>
    <row r="7742" spans="1:4" x14ac:dyDescent="0.25">
      <c r="A7742" t="str">
        <f>T("   080810")</f>
        <v xml:space="preserve">   080810</v>
      </c>
      <c r="B7742" t="str">
        <f>T("   Pommes, fraîches")</f>
        <v xml:space="preserve">   Pommes, fraîches</v>
      </c>
      <c r="C7742">
        <v>143805</v>
      </c>
      <c r="D7742">
        <v>300</v>
      </c>
    </row>
    <row r="7743" spans="1:4" x14ac:dyDescent="0.25">
      <c r="A7743" t="str">
        <f>T("   090121")</f>
        <v xml:space="preserve">   090121</v>
      </c>
      <c r="B7743" t="str">
        <f>T("   Café, torréfié, non décaféiné")</f>
        <v xml:space="preserve">   Café, torréfié, non décaféiné</v>
      </c>
      <c r="C7743">
        <v>1750306</v>
      </c>
      <c r="D7743">
        <v>6674</v>
      </c>
    </row>
    <row r="7744" spans="1:4" x14ac:dyDescent="0.25">
      <c r="A7744" t="str">
        <f>T("   090240")</f>
        <v xml:space="preserve">   090240</v>
      </c>
      <c r="B7744" t="s">
        <v>26</v>
      </c>
      <c r="C7744">
        <v>168731</v>
      </c>
      <c r="D7744">
        <v>250</v>
      </c>
    </row>
    <row r="7745" spans="1:4" x14ac:dyDescent="0.25">
      <c r="A7745" t="str">
        <f>T("   090412")</f>
        <v xml:space="preserve">   090412</v>
      </c>
      <c r="B7745" t="str">
        <f>T("   Poivre du genre 'Piper', broyé ou pulvérisé")</f>
        <v xml:space="preserve">   Poivre du genre 'Piper', broyé ou pulvérisé</v>
      </c>
      <c r="C7745">
        <v>298510</v>
      </c>
      <c r="D7745">
        <v>914</v>
      </c>
    </row>
    <row r="7746" spans="1:4" x14ac:dyDescent="0.25">
      <c r="A7746" t="str">
        <f>T("   091091")</f>
        <v xml:space="preserve">   091091</v>
      </c>
      <c r="B7746" t="str">
        <f>T("   Mélanges d'épices")</f>
        <v xml:space="preserve">   Mélanges d'épices</v>
      </c>
      <c r="C7746">
        <v>762540</v>
      </c>
      <c r="D7746">
        <v>2752</v>
      </c>
    </row>
    <row r="7747" spans="1:4" x14ac:dyDescent="0.25">
      <c r="A7747" t="str">
        <f>T("   091099")</f>
        <v xml:space="preserve">   091099</v>
      </c>
      <c r="B7747" t="s">
        <v>27</v>
      </c>
      <c r="C7747">
        <v>1161951</v>
      </c>
      <c r="D7747">
        <v>4146</v>
      </c>
    </row>
    <row r="7748" spans="1:4" x14ac:dyDescent="0.25">
      <c r="A7748" t="str">
        <f>T("   100630")</f>
        <v xml:space="preserve">   100630</v>
      </c>
      <c r="B7748" t="str">
        <f>T("   Riz semi-blanchi ou blanchi, même poli ou glacé")</f>
        <v xml:space="preserve">   Riz semi-blanchi ou blanchi, même poli ou glacé</v>
      </c>
      <c r="C7748">
        <v>50225846.491999999</v>
      </c>
      <c r="D7748">
        <v>201801</v>
      </c>
    </row>
    <row r="7749" spans="1:4" x14ac:dyDescent="0.25">
      <c r="A7749" t="str">
        <f>T("   110100")</f>
        <v xml:space="preserve">   110100</v>
      </c>
      <c r="B7749" t="str">
        <f>T("   Farines de froment [blé] ou de méteil")</f>
        <v xml:space="preserve">   Farines de froment [blé] ou de méteil</v>
      </c>
      <c r="C7749">
        <v>103224922.338</v>
      </c>
      <c r="D7749">
        <v>357530</v>
      </c>
    </row>
    <row r="7750" spans="1:4" x14ac:dyDescent="0.25">
      <c r="A7750" t="str">
        <f>T("   110311")</f>
        <v xml:space="preserve">   110311</v>
      </c>
      <c r="B7750" t="str">
        <f>T("   Gruaux et semoules de froment [blé]")</f>
        <v xml:space="preserve">   Gruaux et semoules de froment [blé]</v>
      </c>
      <c r="C7750">
        <v>181701</v>
      </c>
      <c r="D7750">
        <v>511</v>
      </c>
    </row>
    <row r="7751" spans="1:4" x14ac:dyDescent="0.25">
      <c r="A7751" t="str">
        <f>T("   120740")</f>
        <v xml:space="preserve">   120740</v>
      </c>
      <c r="B7751" t="str">
        <f>T("   Graines de sésame, même concassées")</f>
        <v xml:space="preserve">   Graines de sésame, même concassées</v>
      </c>
      <c r="C7751">
        <v>1197166</v>
      </c>
      <c r="D7751">
        <v>5058</v>
      </c>
    </row>
    <row r="7752" spans="1:4" x14ac:dyDescent="0.25">
      <c r="A7752" t="str">
        <f>T("   120890")</f>
        <v xml:space="preserve">   120890</v>
      </c>
      <c r="B7752" t="str">
        <f>T("   Farines de graines ou de fruits oléagineux (à l'excl. des farines de moutarde et de fèves de soja)")</f>
        <v xml:space="preserve">   Farines de graines ou de fruits oléagineux (à l'excl. des farines de moutarde et de fèves de soja)</v>
      </c>
      <c r="C7752">
        <v>294756</v>
      </c>
      <c r="D7752">
        <v>1966</v>
      </c>
    </row>
    <row r="7753" spans="1:4" x14ac:dyDescent="0.25">
      <c r="A7753" t="str">
        <f>T("   150990")</f>
        <v xml:space="preserve">   150990</v>
      </c>
      <c r="B7753" t="str">
        <f>T("   Huile d'olive et ses fractions, traitées mais non chimiquement modifiées, obtenues, à partir des fruits de l'olivier, uniquement par des procédés mécaniques ou physiques, dans des conditions n'altérant pas l'huile")</f>
        <v xml:space="preserve">   Huile d'olive et ses fractions, traitées mais non chimiquement modifiées, obtenues, à partir des fruits de l'olivier, uniquement par des procédés mécaniques ou physiques, dans des conditions n'altérant pas l'huile</v>
      </c>
      <c r="C7753">
        <v>754153</v>
      </c>
      <c r="D7753">
        <v>4259</v>
      </c>
    </row>
    <row r="7754" spans="1:4" x14ac:dyDescent="0.25">
      <c r="A7754" t="str">
        <f>T("   151550")</f>
        <v xml:space="preserve">   151550</v>
      </c>
      <c r="B7754" t="str">
        <f>T("   Huile de sésame et ses fractions, même raffinées, mais non chimiquement modifiées")</f>
        <v xml:space="preserve">   Huile de sésame et ses fractions, même raffinées, mais non chimiquement modifiées</v>
      </c>
      <c r="C7754">
        <v>234276</v>
      </c>
      <c r="D7754">
        <v>1290</v>
      </c>
    </row>
    <row r="7755" spans="1:4" x14ac:dyDescent="0.25">
      <c r="A7755" t="str">
        <f>T("   151620")</f>
        <v xml:space="preserve">   151620</v>
      </c>
      <c r="B7755"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7755">
        <v>209955</v>
      </c>
      <c r="D7755">
        <v>984</v>
      </c>
    </row>
    <row r="7756" spans="1:4" x14ac:dyDescent="0.25">
      <c r="A7756" t="str">
        <f>T("   160100")</f>
        <v xml:space="preserve">   160100</v>
      </c>
      <c r="B7756" t="str">
        <f>T("   Saucisses, saucissons et produits simil., de viande, d'abats ou de sang; préparations alimentaires à base de ces produits")</f>
        <v xml:space="preserve">   Saucisses, saucissons et produits simil., de viande, d'abats ou de sang; préparations alimentaires à base de ces produits</v>
      </c>
      <c r="C7756">
        <v>1115711</v>
      </c>
      <c r="D7756">
        <v>3398</v>
      </c>
    </row>
    <row r="7757" spans="1:4" x14ac:dyDescent="0.25">
      <c r="A7757" t="str">
        <f>T("   160232")</f>
        <v xml:space="preserve">   160232</v>
      </c>
      <c r="B7757" t="s">
        <v>39</v>
      </c>
      <c r="C7757">
        <v>5273</v>
      </c>
      <c r="D7757">
        <v>34</v>
      </c>
    </row>
    <row r="7758" spans="1:4" x14ac:dyDescent="0.25">
      <c r="A7758" t="str">
        <f>T("   160239")</f>
        <v xml:space="preserve">   160239</v>
      </c>
      <c r="B7758" t="s">
        <v>40</v>
      </c>
      <c r="C7758">
        <v>747786</v>
      </c>
      <c r="D7758">
        <v>1850</v>
      </c>
    </row>
    <row r="7759" spans="1:4" x14ac:dyDescent="0.25">
      <c r="A7759" t="str">
        <f>T("   160250")</f>
        <v xml:space="preserve">   160250</v>
      </c>
      <c r="B7759" t="s">
        <v>42</v>
      </c>
      <c r="C7759">
        <v>32225</v>
      </c>
      <c r="D7759">
        <v>29</v>
      </c>
    </row>
    <row r="7760" spans="1:4" x14ac:dyDescent="0.25">
      <c r="A7760" t="str">
        <f>T("   160290")</f>
        <v xml:space="preserve">   160290</v>
      </c>
      <c r="B7760" t="s">
        <v>43</v>
      </c>
      <c r="C7760">
        <v>287131</v>
      </c>
      <c r="D7760">
        <v>1989</v>
      </c>
    </row>
    <row r="7761" spans="1:4" x14ac:dyDescent="0.25">
      <c r="A7761" t="str">
        <f>T("   160414")</f>
        <v xml:space="preserve">   160414</v>
      </c>
      <c r="B7761" t="str">
        <f>T("   Préparations et conserves de thons, de listaos et de bonites 'Sarda spp.', entiers ou en morceaux (à l'excl. des préparations et conserves de thons, de listaos et de bonites hachés)")</f>
        <v xml:space="preserve">   Préparations et conserves de thons, de listaos et de bonites 'Sarda spp.', entiers ou en morceaux (à l'excl. des préparations et conserves de thons, de listaos et de bonites hachés)</v>
      </c>
      <c r="C7761">
        <v>1472630</v>
      </c>
      <c r="D7761">
        <v>4143</v>
      </c>
    </row>
    <row r="7762" spans="1:4" x14ac:dyDescent="0.25">
      <c r="A7762" t="str">
        <f>T("   170111")</f>
        <v xml:space="preserve">   170111</v>
      </c>
      <c r="B7762" t="str">
        <f>T("   Sucres de canne, bruts, sans addition d'aromatisants ou de colorants")</f>
        <v xml:space="preserve">   Sucres de canne, bruts, sans addition d'aromatisants ou de colorants</v>
      </c>
      <c r="C7762">
        <v>128734</v>
      </c>
      <c r="D7762">
        <v>385</v>
      </c>
    </row>
    <row r="7763" spans="1:4" x14ac:dyDescent="0.25">
      <c r="A7763" t="str">
        <f>T("   170199")</f>
        <v xml:space="preserve">   170199</v>
      </c>
      <c r="B7763"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7763">
        <v>3753</v>
      </c>
      <c r="D7763">
        <v>7</v>
      </c>
    </row>
    <row r="7764" spans="1:4" x14ac:dyDescent="0.25">
      <c r="A7764" t="str">
        <f>T("   170290")</f>
        <v xml:space="preserve">   170290</v>
      </c>
      <c r="B7764" t="s">
        <v>45</v>
      </c>
      <c r="C7764">
        <v>182153</v>
      </c>
      <c r="D7764">
        <v>2056</v>
      </c>
    </row>
    <row r="7765" spans="1:4" x14ac:dyDescent="0.25">
      <c r="A7765" t="str">
        <f>T("   170490")</f>
        <v xml:space="preserve">   170490</v>
      </c>
      <c r="B7765" t="str">
        <f>T("   Sucreries sans cacao, y.c. le chocolat blanc (à l'excl. des gommes à mâcher)")</f>
        <v xml:space="preserve">   Sucreries sans cacao, y.c. le chocolat blanc (à l'excl. des gommes à mâcher)</v>
      </c>
      <c r="C7765">
        <v>938046</v>
      </c>
      <c r="D7765">
        <v>2888</v>
      </c>
    </row>
    <row r="7766" spans="1:4" x14ac:dyDescent="0.25">
      <c r="A7766" t="str">
        <f>T("   180631")</f>
        <v xml:space="preserve">   180631</v>
      </c>
      <c r="B7766" t="str">
        <f>T("   Chocolat et autres préparations alimentaires contenant du cacao, présentés en tablettes, barres ou bâtons, d'un poids &lt;= 2 kg, fourrés")</f>
        <v xml:space="preserve">   Chocolat et autres préparations alimentaires contenant du cacao, présentés en tablettes, barres ou bâtons, d'un poids &lt;= 2 kg, fourrés</v>
      </c>
      <c r="C7766">
        <v>1142322</v>
      </c>
      <c r="D7766">
        <v>5042</v>
      </c>
    </row>
    <row r="7767" spans="1:4" x14ac:dyDescent="0.25">
      <c r="A7767" t="str">
        <f>T("   180690")</f>
        <v xml:space="preserve">   180690</v>
      </c>
      <c r="B7767" t="str">
        <f>T("   Chocolat et autres préparations alimentaires contenant du cacao, en récipients ou en emballages immédiats d'un contenu &lt;= 2 kg (à l'excl. de la poudre de cacao et des produits présentés en tablettes, barres ou bâtons)")</f>
        <v xml:space="preserve">   Chocolat et autres préparations alimentaires contenant du cacao, en récipients ou en emballages immédiats d'un contenu &lt;= 2 kg (à l'excl. de la poudre de cacao et des produits présentés en tablettes, barres ou bâtons)</v>
      </c>
      <c r="C7767">
        <v>274946</v>
      </c>
      <c r="D7767">
        <v>359</v>
      </c>
    </row>
    <row r="7768" spans="1:4" x14ac:dyDescent="0.25">
      <c r="A7768" t="str">
        <f>T("   190230")</f>
        <v xml:space="preserve">   190230</v>
      </c>
      <c r="B7768" t="str">
        <f>T("   Pâtes alimentaires, cuites ou autrement préparées (à l'excl. des pâtes alimentaires farcies)")</f>
        <v xml:space="preserve">   Pâtes alimentaires, cuites ou autrement préparées (à l'excl. des pâtes alimentaires farcies)</v>
      </c>
      <c r="C7768">
        <v>824988</v>
      </c>
      <c r="D7768">
        <v>3041</v>
      </c>
    </row>
    <row r="7769" spans="1:4" x14ac:dyDescent="0.25">
      <c r="A7769" t="str">
        <f>T("   190490")</f>
        <v xml:space="preserve">   190490</v>
      </c>
      <c r="B7769" t="s">
        <v>50</v>
      </c>
      <c r="C7769">
        <v>814895</v>
      </c>
      <c r="D7769">
        <v>4416</v>
      </c>
    </row>
    <row r="7770" spans="1:4" x14ac:dyDescent="0.25">
      <c r="A7770" t="str">
        <f>T("   190531")</f>
        <v xml:space="preserve">   190531</v>
      </c>
      <c r="B7770" t="str">
        <f>T("   Biscuits additionnés d'édulcorants")</f>
        <v xml:space="preserve">   Biscuits additionnés d'édulcorants</v>
      </c>
      <c r="C7770">
        <v>1338024</v>
      </c>
      <c r="D7770">
        <v>4242</v>
      </c>
    </row>
    <row r="7771" spans="1:4" x14ac:dyDescent="0.25">
      <c r="A7771" t="str">
        <f>T("   190532")</f>
        <v xml:space="preserve">   190532</v>
      </c>
      <c r="B7771" t="str">
        <f>T("   GAUFRES ET GAUFRETTES")</f>
        <v xml:space="preserve">   GAUFRES ET GAUFRETTES</v>
      </c>
      <c r="C7771">
        <v>305022</v>
      </c>
      <c r="D7771">
        <v>858</v>
      </c>
    </row>
    <row r="7772" spans="1:4" x14ac:dyDescent="0.25">
      <c r="A7772" t="str">
        <f>T("   190590")</f>
        <v xml:space="preserve">   190590</v>
      </c>
      <c r="B7772" t="s">
        <v>51</v>
      </c>
      <c r="C7772">
        <v>1888409</v>
      </c>
      <c r="D7772">
        <v>9914</v>
      </c>
    </row>
    <row r="7773" spans="1:4" x14ac:dyDescent="0.25">
      <c r="A7773" t="str">
        <f>T("   200310")</f>
        <v xml:space="preserve">   200310</v>
      </c>
      <c r="B7773" t="str">
        <f>T("   Champignons du genre 'Agaricus', préparés ou conservés autrement qu'au vinaigre ou à l'acide acétique")</f>
        <v xml:space="preserve">   Champignons du genre 'Agaricus', préparés ou conservés autrement qu'au vinaigre ou à l'acide acétique</v>
      </c>
      <c r="C7773">
        <v>463294</v>
      </c>
      <c r="D7773">
        <v>1125</v>
      </c>
    </row>
    <row r="7774" spans="1:4" x14ac:dyDescent="0.25">
      <c r="A7774" t="str">
        <f>T("   200559")</f>
        <v xml:space="preserve">   200559</v>
      </c>
      <c r="B7774" t="str">
        <f>T("   Haricots [Vigna spp., Phaseolus spp.], préparés ou conservés autrement qu'au vinaigre ou à l'acide acétique, non congelés (à l'excl. des haricots en grains)")</f>
        <v xml:space="preserve">   Haricots [Vigna spp., Phaseolus spp.], préparés ou conservés autrement qu'au vinaigre ou à l'acide acétique, non congelés (à l'excl. des haricots en grains)</v>
      </c>
      <c r="C7774">
        <v>1679163</v>
      </c>
      <c r="D7774">
        <v>7155</v>
      </c>
    </row>
    <row r="7775" spans="1:4" x14ac:dyDescent="0.25">
      <c r="A7775" t="str">
        <f>T("   200570")</f>
        <v xml:space="preserve">   200570</v>
      </c>
      <c r="B7775" t="str">
        <f>T("   OLIVES, PRÉPARÉES OU CONSERVÉES AUTREMENT QU'AU VINAIGRE OU À L'ACIDE ACÉTIQUE, NON-CONGELÉES")</f>
        <v xml:space="preserve">   OLIVES, PRÉPARÉES OU CONSERVÉES AUTREMENT QU'AU VINAIGRE OU À L'ACIDE ACÉTIQUE, NON-CONGELÉES</v>
      </c>
      <c r="C7775">
        <v>27490</v>
      </c>
      <c r="D7775">
        <v>114</v>
      </c>
    </row>
    <row r="7776" spans="1:4" x14ac:dyDescent="0.25">
      <c r="A7776" t="str">
        <f>T("   200590")</f>
        <v xml:space="preserve">   200590</v>
      </c>
      <c r="B7776" t="s">
        <v>52</v>
      </c>
      <c r="C7776">
        <v>4324257</v>
      </c>
      <c r="D7776">
        <v>14200</v>
      </c>
    </row>
    <row r="7777" spans="1:4" x14ac:dyDescent="0.25">
      <c r="A7777" t="str">
        <f>T("   200919")</f>
        <v xml:space="preserve">   200919</v>
      </c>
      <c r="B7777" t="str">
        <f>T("   JUS D'ORANGE, NON-FERMENTÉS, SANS ADDITION D'ALCOOL, AVEC OU SANS ADDITION DE SUCRE OU D'AUTRES ÉDULCORANTS (À L'EXCL. DES JUS CONGELÉS ET DES JUS D'UNE VALEUR BRIX &lt;= 20 À 20°C)")</f>
        <v xml:space="preserve">   JUS D'ORANGE, NON-FERMENTÉS, SANS ADDITION D'ALCOOL, AVEC OU SANS ADDITION DE SUCRE OU D'AUTRES ÉDULCORANTS (À L'EXCL. DES JUS CONGELÉS ET DES JUS D'UNE VALEUR BRIX &lt;= 20 À 20°C)</v>
      </c>
      <c r="C7777">
        <v>603982</v>
      </c>
      <c r="D7777">
        <v>8120</v>
      </c>
    </row>
    <row r="7778" spans="1:4" x14ac:dyDescent="0.25">
      <c r="A7778" t="str">
        <f>T("   200949")</f>
        <v xml:space="preserve">   200949</v>
      </c>
      <c r="B7778" t="str">
        <f>T("   JUS D'ANANAS, NON-FERMENTÉS, SANS ADDITION D'ALCOOL, AVEC OU SANS ADDITION DE SUCRE OU D'AUTRES ÉDULCORANTS, D'UNE VALEUR BRIX &gt; 20 À 20°C")</f>
        <v xml:space="preserve">   JUS D'ANANAS, NON-FERMENTÉS, SANS ADDITION D'ALCOOL, AVEC OU SANS ADDITION DE SUCRE OU D'AUTRES ÉDULCORANTS, D'UNE VALEUR BRIX &gt; 20 À 20°C</v>
      </c>
      <c r="C7778">
        <v>198983</v>
      </c>
      <c r="D7778">
        <v>1285</v>
      </c>
    </row>
    <row r="7779" spans="1:4" x14ac:dyDescent="0.25">
      <c r="A7779" t="str">
        <f>T("   200980")</f>
        <v xml:space="preserve">   200980</v>
      </c>
      <c r="B7779"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7779">
        <v>21416788</v>
      </c>
      <c r="D7779">
        <v>90323</v>
      </c>
    </row>
    <row r="7780" spans="1:4" x14ac:dyDescent="0.25">
      <c r="A7780" t="str">
        <f>T("   200990")</f>
        <v xml:space="preserve">   200990</v>
      </c>
      <c r="B7780"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7780">
        <v>39866334</v>
      </c>
      <c r="D7780">
        <v>174937</v>
      </c>
    </row>
    <row r="7781" spans="1:4" x14ac:dyDescent="0.25">
      <c r="A7781" t="str">
        <f>T("   210111")</f>
        <v xml:space="preserve">   210111</v>
      </c>
      <c r="B7781" t="str">
        <f>T("   Extraits, essences et concentrés de café")</f>
        <v xml:space="preserve">   Extraits, essences et concentrés de café</v>
      </c>
      <c r="C7781">
        <v>467327</v>
      </c>
      <c r="D7781">
        <v>1135</v>
      </c>
    </row>
    <row r="7782" spans="1:4" x14ac:dyDescent="0.25">
      <c r="A7782" t="str">
        <f>T("   210220")</f>
        <v xml:space="preserve">   210220</v>
      </c>
      <c r="B7782" t="str">
        <f>T("   Levures mortes; autres micro-organismes monocellulaires morts (à l'excl. des micro-organismes monocellulaires conditionnés comme médicaments)")</f>
        <v xml:space="preserve">   Levures mortes; autres micro-organismes monocellulaires morts (à l'excl. des micro-organismes monocellulaires conditionnés comme médicaments)</v>
      </c>
      <c r="C7782">
        <v>8254</v>
      </c>
      <c r="D7782">
        <v>6</v>
      </c>
    </row>
    <row r="7783" spans="1:4" x14ac:dyDescent="0.25">
      <c r="A7783" t="str">
        <f>T("   210320")</f>
        <v xml:space="preserve">   210320</v>
      </c>
      <c r="B7783" t="str">
        <f>T("   Tomato ketchup et autres sauces tomates")</f>
        <v xml:space="preserve">   Tomato ketchup et autres sauces tomates</v>
      </c>
      <c r="C7783">
        <v>5258262</v>
      </c>
      <c r="D7783">
        <v>16902.5</v>
      </c>
    </row>
    <row r="7784" spans="1:4" x14ac:dyDescent="0.25">
      <c r="A7784" t="str">
        <f>T("   210330")</f>
        <v xml:space="preserve">   210330</v>
      </c>
      <c r="B7784" t="str">
        <f>T("   Farine de moutarde et moutarde préparée")</f>
        <v xml:space="preserve">   Farine de moutarde et moutarde préparée</v>
      </c>
      <c r="C7784">
        <v>186174</v>
      </c>
      <c r="D7784">
        <v>975</v>
      </c>
    </row>
    <row r="7785" spans="1:4" x14ac:dyDescent="0.25">
      <c r="A7785" t="str">
        <f>T("   210390")</f>
        <v xml:space="preserve">   210390</v>
      </c>
      <c r="B7785"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7785">
        <v>1786536</v>
      </c>
      <c r="D7785">
        <v>7194</v>
      </c>
    </row>
    <row r="7786" spans="1:4" x14ac:dyDescent="0.25">
      <c r="A7786" t="str">
        <f>T("   210690")</f>
        <v xml:space="preserve">   210690</v>
      </c>
      <c r="B7786" t="str">
        <f>T("   Préparations alimentaires, n.d.a.")</f>
        <v xml:space="preserve">   Préparations alimentaires, n.d.a.</v>
      </c>
      <c r="C7786">
        <v>1724130</v>
      </c>
      <c r="D7786">
        <v>9260</v>
      </c>
    </row>
    <row r="7787" spans="1:4" x14ac:dyDescent="0.25">
      <c r="A7787" t="str">
        <f>T("   220110")</f>
        <v xml:space="preserve">   220110</v>
      </c>
      <c r="B7787" t="str">
        <f>T("   Eaux minérales et eaux gazéifiées, non additionnées de sucre ou d'autres édulcorants ni aromatisées")</f>
        <v xml:space="preserve">   Eaux minérales et eaux gazéifiées, non additionnées de sucre ou d'autres édulcorants ni aromatisées</v>
      </c>
      <c r="C7787">
        <v>27747512</v>
      </c>
      <c r="D7787">
        <v>277159</v>
      </c>
    </row>
    <row r="7788" spans="1:4" x14ac:dyDescent="0.25">
      <c r="A7788" t="str">
        <f>T("   220190")</f>
        <v xml:space="preserve">   220190</v>
      </c>
      <c r="B7788" t="str">
        <f>T("   Eaux, non additionnées de sucre ou d'autres édulcorants ni aromatisées (à l'excl. des eaux minérales, des eaux gazéifiées, de l'eau de mer ainsi que des eaux distillées, de conductibilité ou de même degré de pureté); glace et neige")</f>
        <v xml:space="preserve">   Eaux, non additionnées de sucre ou d'autres édulcorants ni aromatisées (à l'excl. des eaux minérales, des eaux gazéifiées, de l'eau de mer ainsi que des eaux distillées, de conductibilité ou de même degré de pureté); glace et neige</v>
      </c>
      <c r="C7788">
        <v>1036407</v>
      </c>
      <c r="D7788">
        <v>8910</v>
      </c>
    </row>
    <row r="7789" spans="1:4" x14ac:dyDescent="0.25">
      <c r="A7789" t="str">
        <f>T("   220210")</f>
        <v xml:space="preserve">   220210</v>
      </c>
      <c r="B7789"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7789">
        <v>9957577</v>
      </c>
      <c r="D7789">
        <v>84719</v>
      </c>
    </row>
    <row r="7790" spans="1:4" x14ac:dyDescent="0.25">
      <c r="A7790" t="str">
        <f>T("   220290")</f>
        <v xml:space="preserve">   220290</v>
      </c>
      <c r="B7790" t="str">
        <f>T("   BOISSONS NON-ALCOOLIQUES (À L'EXCL. DES EAUX, DES JUS DE FRUITS OU DE LÉGUMES AINSI QUE DU LAIT)")</f>
        <v xml:space="preserve">   BOISSONS NON-ALCOOLIQUES (À L'EXCL. DES EAUX, DES JUS DE FRUITS OU DE LÉGUMES AINSI QUE DU LAIT)</v>
      </c>
      <c r="C7790">
        <v>14740348</v>
      </c>
      <c r="D7790">
        <v>59783.75</v>
      </c>
    </row>
    <row r="7791" spans="1:4" x14ac:dyDescent="0.25">
      <c r="A7791" t="str">
        <f>T("   220300")</f>
        <v xml:space="preserve">   220300</v>
      </c>
      <c r="B7791" t="str">
        <f>T("   Bières de malt")</f>
        <v xml:space="preserve">   Bières de malt</v>
      </c>
      <c r="C7791">
        <v>583199</v>
      </c>
      <c r="D7791">
        <v>2431</v>
      </c>
    </row>
    <row r="7792" spans="1:4" x14ac:dyDescent="0.25">
      <c r="A7792" t="str">
        <f>T("   220600")</f>
        <v xml:space="preserve">   220600</v>
      </c>
      <c r="B7792" t="s">
        <v>60</v>
      </c>
      <c r="C7792">
        <v>361847</v>
      </c>
      <c r="D7792">
        <v>592</v>
      </c>
    </row>
    <row r="7793" spans="1:4" x14ac:dyDescent="0.25">
      <c r="A7793" t="str">
        <f>T("   220710")</f>
        <v xml:space="preserve">   220710</v>
      </c>
      <c r="B7793" t="str">
        <f>T("   Alcool éthylique non dénaturé d'un titre alcoométrique volumique &gt;= 80% vol")</f>
        <v xml:space="preserve">   Alcool éthylique non dénaturé d'un titre alcoométrique volumique &gt;= 80% vol</v>
      </c>
      <c r="C7793">
        <v>99705</v>
      </c>
      <c r="D7793">
        <v>272</v>
      </c>
    </row>
    <row r="7794" spans="1:4" x14ac:dyDescent="0.25">
      <c r="A7794" t="str">
        <f>T("   220900")</f>
        <v xml:space="preserve">   220900</v>
      </c>
      <c r="B7794" t="str">
        <f>T("   Vinaigres comestibles et succédanés de vinaigre comestibles obtenus à partir d'acide acétique")</f>
        <v xml:space="preserve">   Vinaigres comestibles et succédanés de vinaigre comestibles obtenus à partir d'acide acétique</v>
      </c>
      <c r="C7794">
        <v>1211750</v>
      </c>
      <c r="D7794">
        <v>4691</v>
      </c>
    </row>
    <row r="7795" spans="1:4" x14ac:dyDescent="0.25">
      <c r="A7795" t="str">
        <f>T("   250100")</f>
        <v xml:space="preserve">   250100</v>
      </c>
      <c r="B7795" t="s">
        <v>63</v>
      </c>
      <c r="C7795">
        <v>461529</v>
      </c>
      <c r="D7795">
        <v>2017</v>
      </c>
    </row>
    <row r="7796" spans="1:4" x14ac:dyDescent="0.25">
      <c r="A7796" t="str">
        <f>T("   271019")</f>
        <v xml:space="preserve">   271019</v>
      </c>
      <c r="B7796" t="str">
        <f>T("   Huiles moyennes et préparations, de pétrole ou de minéraux bitumineux, n.d.a.")</f>
        <v xml:space="preserve">   Huiles moyennes et préparations, de pétrole ou de minéraux bitumineux, n.d.a.</v>
      </c>
      <c r="C7796">
        <v>49981</v>
      </c>
      <c r="D7796">
        <v>193</v>
      </c>
    </row>
    <row r="7797" spans="1:4" x14ac:dyDescent="0.25">
      <c r="A7797" t="str">
        <f>T("   282890")</f>
        <v xml:space="preserve">   282890</v>
      </c>
      <c r="B7797" t="str">
        <f>T("   Hypochlorites, chlorites et hypobromites (à l'excl. des hypochlorites de calcium)")</f>
        <v xml:space="preserve">   Hypochlorites, chlorites et hypobromites (à l'excl. des hypochlorites de calcium)</v>
      </c>
      <c r="C7797">
        <v>599878</v>
      </c>
      <c r="D7797">
        <v>3484</v>
      </c>
    </row>
    <row r="7798" spans="1:4" x14ac:dyDescent="0.25">
      <c r="A7798" t="str">
        <f>T("   290512")</f>
        <v xml:space="preserve">   290512</v>
      </c>
      <c r="B7798" t="str">
        <f>T("   Propane-1-ol [alcool propylique] et propane-2-ol [alcool isopropylique]")</f>
        <v xml:space="preserve">   Propane-1-ol [alcool propylique] et propane-2-ol [alcool isopropylique]</v>
      </c>
      <c r="C7798">
        <v>65441</v>
      </c>
      <c r="D7798">
        <v>199</v>
      </c>
    </row>
    <row r="7799" spans="1:4" x14ac:dyDescent="0.25">
      <c r="A7799" t="str">
        <f>T("   320417")</f>
        <v xml:space="preserve">   320417</v>
      </c>
      <c r="B7799" t="s">
        <v>90</v>
      </c>
      <c r="C7799">
        <v>14075801</v>
      </c>
      <c r="D7799">
        <v>23000</v>
      </c>
    </row>
    <row r="7800" spans="1:4" x14ac:dyDescent="0.25">
      <c r="A7800" t="str">
        <f>T("   320820")</f>
        <v xml:space="preserve">   320820</v>
      </c>
      <c r="B7800" t="s">
        <v>96</v>
      </c>
      <c r="C7800">
        <v>2667167</v>
      </c>
      <c r="D7800">
        <v>3180</v>
      </c>
    </row>
    <row r="7801" spans="1:4" x14ac:dyDescent="0.25">
      <c r="A7801" t="str">
        <f>T("   320890")</f>
        <v xml:space="preserve">   320890</v>
      </c>
      <c r="B7801" t="s">
        <v>97</v>
      </c>
      <c r="C7801">
        <v>20513252</v>
      </c>
      <c r="D7801">
        <v>60843</v>
      </c>
    </row>
    <row r="7802" spans="1:4" x14ac:dyDescent="0.25">
      <c r="A7802" t="str">
        <f>T("   320910")</f>
        <v xml:space="preserve">   320910</v>
      </c>
      <c r="B7802" t="str">
        <f>T("   Peintures et vernis à base de polymères acryliques ou vinyliques, dispersés ou dissous dans un milieu aqueux")</f>
        <v xml:space="preserve">   Peintures et vernis à base de polymères acryliques ou vinyliques, dispersés ou dissous dans un milieu aqueux</v>
      </c>
      <c r="C7802">
        <v>1407339</v>
      </c>
      <c r="D7802">
        <v>888</v>
      </c>
    </row>
    <row r="7803" spans="1:4" x14ac:dyDescent="0.25">
      <c r="A7803" t="str">
        <f>T("   321000")</f>
        <v xml:space="preserve">   321000</v>
      </c>
      <c r="B7803" t="str">
        <f>T("   Peintures et vernis (à l'excl. des produits à base de polymères synthétiques ou de polymères naturels modifiés); pigments à l'eau préparés des types utilisés pour le finissage des cuirs")</f>
        <v xml:space="preserve">   Peintures et vernis (à l'excl. des produits à base de polymères synthétiques ou de polymères naturels modifiés); pigments à l'eau préparés des types utilisés pour le finissage des cuirs</v>
      </c>
      <c r="C7803">
        <v>1545688</v>
      </c>
      <c r="D7803">
        <v>3009</v>
      </c>
    </row>
    <row r="7804" spans="1:4" x14ac:dyDescent="0.25">
      <c r="A7804" t="str">
        <f>T("   321410")</f>
        <v xml:space="preserve">   321410</v>
      </c>
      <c r="B7804" t="str">
        <f>T("   Mastic de vitrier, ciments de résine et autres mastics; enduits utilisés en peinture")</f>
        <v xml:space="preserve">   Mastic de vitrier, ciments de résine et autres mastics; enduits utilisés en peinture</v>
      </c>
      <c r="C7804">
        <v>7431202</v>
      </c>
      <c r="D7804">
        <v>14211</v>
      </c>
    </row>
    <row r="7805" spans="1:4" x14ac:dyDescent="0.25">
      <c r="A7805" t="str">
        <f>T("   321511")</f>
        <v xml:space="preserve">   321511</v>
      </c>
      <c r="B7805" t="str">
        <f>T("   Encres d'imprimerie, noires, même concentrées ou sous formes solides")</f>
        <v xml:space="preserve">   Encres d'imprimerie, noires, même concentrées ou sous formes solides</v>
      </c>
      <c r="C7805">
        <v>2143312</v>
      </c>
      <c r="D7805">
        <v>3684</v>
      </c>
    </row>
    <row r="7806" spans="1:4" x14ac:dyDescent="0.25">
      <c r="A7806" t="str">
        <f>T("   330590")</f>
        <v xml:space="preserve">   330590</v>
      </c>
      <c r="B7806" t="str">
        <f>T("   PRÉPARATIONS CAPILLAIRES (À L'EXCL. DES SHAMPOOINGS, DES LAQUES POUR CHEVEUX ET DES PRÉPARATIONS POUR L'ONDULATION OU LE DÉFRISAGE PERMANENTS)")</f>
        <v xml:space="preserve">   PRÉPARATIONS CAPILLAIRES (À L'EXCL. DES SHAMPOOINGS, DES LAQUES POUR CHEVEUX ET DES PRÉPARATIONS POUR L'ONDULATION OU LE DÉFRISAGE PERMANENTS)</v>
      </c>
      <c r="C7806">
        <v>604940</v>
      </c>
      <c r="D7806">
        <v>4011</v>
      </c>
    </row>
    <row r="7807" spans="1:4" x14ac:dyDescent="0.25">
      <c r="A7807" t="str">
        <f>T("   340220")</f>
        <v xml:space="preserve">   340220</v>
      </c>
      <c r="B7807" t="s">
        <v>104</v>
      </c>
      <c r="C7807">
        <v>6200116</v>
      </c>
      <c r="D7807">
        <v>23246</v>
      </c>
    </row>
    <row r="7808" spans="1:4" x14ac:dyDescent="0.25">
      <c r="A7808" t="str">
        <f>T("   340530")</f>
        <v xml:space="preserve">   340530</v>
      </c>
      <c r="B7808" t="s">
        <v>111</v>
      </c>
      <c r="C7808">
        <v>921149</v>
      </c>
      <c r="D7808">
        <v>1004</v>
      </c>
    </row>
    <row r="7809" spans="1:4" x14ac:dyDescent="0.25">
      <c r="A7809" t="str">
        <f>T("   381400")</f>
        <v xml:space="preserve">   381400</v>
      </c>
      <c r="B7809" t="str">
        <f>T("   Solvants et diluants organiques composites, n.d.a.; préparations conçues pour enlever les peintures ou les vernis (à l'excl. des dissolvants pour vernis à ongles)")</f>
        <v xml:space="preserve">   Solvants et diluants organiques composites, n.d.a.; préparations conçues pour enlever les peintures ou les vernis (à l'excl. des dissolvants pour vernis à ongles)</v>
      </c>
      <c r="C7809">
        <v>2768786</v>
      </c>
      <c r="D7809">
        <v>9995</v>
      </c>
    </row>
    <row r="7810" spans="1:4" x14ac:dyDescent="0.25">
      <c r="A7810" t="str">
        <f>T("   382490")</f>
        <v xml:space="preserve">   382490</v>
      </c>
      <c r="B7810" t="str">
        <f>T("   Produits chimiques et préparations des industries chimiques ou des industries connexes, y.c. celles consistant en mélanges de produits naturels, n.d.a.")</f>
        <v xml:space="preserve">   Produits chimiques et préparations des industries chimiques ou des industries connexes, y.c. celles consistant en mélanges de produits naturels, n.d.a.</v>
      </c>
      <c r="C7810">
        <v>2248146</v>
      </c>
      <c r="D7810">
        <v>8006</v>
      </c>
    </row>
    <row r="7811" spans="1:4" x14ac:dyDescent="0.25">
      <c r="A7811" t="str">
        <f>T("   390110")</f>
        <v xml:space="preserve">   390110</v>
      </c>
      <c r="B7811" t="str">
        <f>T("   Polyéthylène d'une densité &lt; 0,94, sous formes primaires")</f>
        <v xml:space="preserve">   Polyéthylène d'une densité &lt; 0,94, sous formes primaires</v>
      </c>
      <c r="C7811">
        <v>47478237</v>
      </c>
      <c r="D7811">
        <v>63500</v>
      </c>
    </row>
    <row r="7812" spans="1:4" x14ac:dyDescent="0.25">
      <c r="A7812" t="str">
        <f>T("   391723")</f>
        <v xml:space="preserve">   391723</v>
      </c>
      <c r="B7812" t="str">
        <f>T("   TUBES ET TUYAUX RIGIDES, EN POLYMÈRES DU CHLORURE DE VINYLE")</f>
        <v xml:space="preserve">   TUBES ET TUYAUX RIGIDES, EN POLYMÈRES DU CHLORURE DE VINYLE</v>
      </c>
      <c r="C7812">
        <v>190959</v>
      </c>
      <c r="D7812">
        <v>1076</v>
      </c>
    </row>
    <row r="7813" spans="1:4" x14ac:dyDescent="0.25">
      <c r="A7813" t="str">
        <f>T("   391731")</f>
        <v xml:space="preserve">   391731</v>
      </c>
      <c r="B7813" t="str">
        <f>T("   Tubes et tuyaux souples, en matières plastiques, pouvant supporter une pression &gt;= 27,6 MPa, même munis d'accessoires")</f>
        <v xml:space="preserve">   Tubes et tuyaux souples, en matières plastiques, pouvant supporter une pression &gt;= 27,6 MPa, même munis d'accessoires</v>
      </c>
      <c r="C7813">
        <v>489963</v>
      </c>
      <c r="D7813">
        <v>845</v>
      </c>
    </row>
    <row r="7814" spans="1:4" x14ac:dyDescent="0.25">
      <c r="A7814" t="str">
        <f>T("   391740")</f>
        <v xml:space="preserve">   391740</v>
      </c>
      <c r="B7814" t="str">
        <f>T("   Accessoires pour tubes ou tuyaux [joints, coudes, raccords, par exemple], en matières plastiques")</f>
        <v xml:space="preserve">   Accessoires pour tubes ou tuyaux [joints, coudes, raccords, par exemple], en matières plastiques</v>
      </c>
      <c r="C7814">
        <v>229470</v>
      </c>
      <c r="D7814">
        <v>1746</v>
      </c>
    </row>
    <row r="7815" spans="1:4" x14ac:dyDescent="0.25">
      <c r="A7815" t="str">
        <f>T("   391910")</f>
        <v xml:space="preserve">   391910</v>
      </c>
      <c r="B7815" t="str">
        <f>T("   Feuilles, bandes, rubans, pellicules et autres formes plates, auto-adhésifs, en matières plastiques, en rouleaux d'une largeur &lt;= 20 cm")</f>
        <v xml:space="preserve">   Feuilles, bandes, rubans, pellicules et autres formes plates, auto-adhésifs, en matières plastiques, en rouleaux d'une largeur &lt;= 20 cm</v>
      </c>
      <c r="C7815">
        <v>82928</v>
      </c>
      <c r="D7815">
        <v>22</v>
      </c>
    </row>
    <row r="7816" spans="1:4" x14ac:dyDescent="0.25">
      <c r="A7816" t="str">
        <f>T("   391990")</f>
        <v xml:space="preserve">   391990</v>
      </c>
      <c r="B7816" t="s">
        <v>133</v>
      </c>
      <c r="C7816">
        <v>4177366</v>
      </c>
      <c r="D7816">
        <v>6575</v>
      </c>
    </row>
    <row r="7817" spans="1:4" x14ac:dyDescent="0.25">
      <c r="A7817" t="str">
        <f>T("   392010")</f>
        <v xml:space="preserve">   392010</v>
      </c>
      <c r="B7817" t="s">
        <v>134</v>
      </c>
      <c r="C7817">
        <v>42257</v>
      </c>
      <c r="D7817">
        <v>2226</v>
      </c>
    </row>
    <row r="7818" spans="1:4" x14ac:dyDescent="0.25">
      <c r="A7818" t="str">
        <f>T("   392099")</f>
        <v xml:space="preserve">   392099</v>
      </c>
      <c r="B7818" t="s">
        <v>145</v>
      </c>
      <c r="C7818">
        <v>1532925</v>
      </c>
      <c r="D7818">
        <v>2435</v>
      </c>
    </row>
    <row r="7819" spans="1:4" x14ac:dyDescent="0.25">
      <c r="A7819" t="str">
        <f>T("   392112")</f>
        <v xml:space="preserve">   392112</v>
      </c>
      <c r="B7819" t="s">
        <v>146</v>
      </c>
      <c r="C7819">
        <v>3122982</v>
      </c>
      <c r="D7819">
        <v>5370</v>
      </c>
    </row>
    <row r="7820" spans="1:4" x14ac:dyDescent="0.25">
      <c r="A7820" t="str">
        <f>T("   392321")</f>
        <v xml:space="preserve">   392321</v>
      </c>
      <c r="B7820" t="str">
        <f>T("   Sacs, sachets, pochettes et cornets, en polymères de l'éthylène")</f>
        <v xml:space="preserve">   Sacs, sachets, pochettes et cornets, en polymères de l'éthylène</v>
      </c>
      <c r="C7820">
        <v>848450</v>
      </c>
      <c r="D7820">
        <v>3310</v>
      </c>
    </row>
    <row r="7821" spans="1:4" x14ac:dyDescent="0.25">
      <c r="A7821" t="str">
        <f>T("   392329")</f>
        <v xml:space="preserve">   392329</v>
      </c>
      <c r="B7821" t="str">
        <f>T("   Sacs, sachets, pochettes et cornets, en matières plastiques (autres que les polymères de l'éthylène)")</f>
        <v xml:space="preserve">   Sacs, sachets, pochettes et cornets, en matières plastiques (autres que les polymères de l'éthylène)</v>
      </c>
      <c r="C7821">
        <v>1794679</v>
      </c>
      <c r="D7821">
        <v>2789</v>
      </c>
    </row>
    <row r="7822" spans="1:4" x14ac:dyDescent="0.25">
      <c r="A7822" t="str">
        <f>T("   392410")</f>
        <v xml:space="preserve">   392410</v>
      </c>
      <c r="B7822" t="str">
        <f>T("   Vaisselle et autres articles pour le service de la table ou de la cuisine, en matières plastiques")</f>
        <v xml:space="preserve">   Vaisselle et autres articles pour le service de la table ou de la cuisine, en matières plastiques</v>
      </c>
      <c r="C7822">
        <v>1236090</v>
      </c>
      <c r="D7822">
        <v>6440</v>
      </c>
    </row>
    <row r="7823" spans="1:4" x14ac:dyDescent="0.25">
      <c r="A7823" t="str">
        <f>T("   392490")</f>
        <v xml:space="preserve">   392490</v>
      </c>
      <c r="B7823" t="s">
        <v>151</v>
      </c>
      <c r="C7823">
        <v>317330</v>
      </c>
      <c r="D7823">
        <v>1071</v>
      </c>
    </row>
    <row r="7824" spans="1:4" x14ac:dyDescent="0.25">
      <c r="A7824" t="str">
        <f>T("   392590")</f>
        <v xml:space="preserve">   392590</v>
      </c>
      <c r="B7824" t="s">
        <v>152</v>
      </c>
      <c r="C7824">
        <v>293511</v>
      </c>
      <c r="D7824">
        <v>502</v>
      </c>
    </row>
    <row r="7825" spans="1:4" x14ac:dyDescent="0.25">
      <c r="A7825" t="str">
        <f>T("   392690")</f>
        <v xml:space="preserve">   392690</v>
      </c>
      <c r="B7825" t="str">
        <f>T("   Ouvrages en matières plastiques et ouvrages en autres matières du n° 3901 à 3914, n.d.a.")</f>
        <v xml:space="preserve">   Ouvrages en matières plastiques et ouvrages en autres matières du n° 3901 à 3914, n.d.a.</v>
      </c>
      <c r="C7825">
        <v>4290135</v>
      </c>
      <c r="D7825">
        <v>2919</v>
      </c>
    </row>
    <row r="7826" spans="1:4" x14ac:dyDescent="0.25">
      <c r="A7826" t="str">
        <f>T("   400941")</f>
        <v xml:space="preserve">   400941</v>
      </c>
      <c r="B7826" t="str">
        <f>T("   Tubes et tuyaux en caoutchouc vulcanisé non durci, renforcés à l'aide d'autres matières que le métal ou les matières textiles ou autrement associés à d'autres matières que le métal ou les matières textiles, sans accessoires")</f>
        <v xml:space="preserve">   Tubes et tuyaux en caoutchouc vulcanisé non durci, renforcés à l'aide d'autres matières que le métal ou les matières textiles ou autrement associés à d'autres matières que le métal ou les matières textiles, sans accessoires</v>
      </c>
      <c r="C7826">
        <v>1000339</v>
      </c>
      <c r="D7826">
        <v>4500</v>
      </c>
    </row>
    <row r="7827" spans="1:4" x14ac:dyDescent="0.25">
      <c r="A7827" t="str">
        <f>T("   401039")</f>
        <v xml:space="preserve">   401039</v>
      </c>
      <c r="B7827" t="s">
        <v>157</v>
      </c>
      <c r="C7827">
        <v>7980</v>
      </c>
      <c r="D7827">
        <v>62</v>
      </c>
    </row>
    <row r="7828" spans="1:4" x14ac:dyDescent="0.25">
      <c r="A7828" t="str">
        <f>T("   401120")</f>
        <v xml:space="preserve">   401120</v>
      </c>
      <c r="B7828"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7828">
        <v>4086459</v>
      </c>
      <c r="D7828">
        <v>5849</v>
      </c>
    </row>
    <row r="7829" spans="1:4" x14ac:dyDescent="0.25">
      <c r="A7829" t="str">
        <f>T("   401199")</f>
        <v xml:space="preserve">   401199</v>
      </c>
      <c r="B7829" t="s">
        <v>158</v>
      </c>
      <c r="C7829">
        <v>852001</v>
      </c>
      <c r="D7829">
        <v>644</v>
      </c>
    </row>
    <row r="7830" spans="1:4" x14ac:dyDescent="0.25">
      <c r="A7830" t="str">
        <f>T("   401390")</f>
        <v xml:space="preserve">   401390</v>
      </c>
      <c r="B7830" t="str">
        <f>T("   Chambres à air, en caoutchouc (à l'excl. des chambres à air des types utilisés pour les voitures de tourisme, les voitures du type 'break', les voitures de course, les autobus, les camions et les bicyclettes)")</f>
        <v xml:space="preserve">   Chambres à air, en caoutchouc (à l'excl. des chambres à air des types utilisés pour les voitures de tourisme, les voitures du type 'break', les voitures de course, les autobus, les camions et les bicyclettes)</v>
      </c>
      <c r="C7830">
        <v>76447</v>
      </c>
      <c r="D7830">
        <v>130.06</v>
      </c>
    </row>
    <row r="7831" spans="1:4" x14ac:dyDescent="0.25">
      <c r="A7831" t="str">
        <f>T("   401699")</f>
        <v xml:space="preserve">   401699</v>
      </c>
      <c r="B7831" t="str">
        <f>T("   OUVRAGES EN CAOUTCHOUC VULCANISÉ NON-DURCI, N.D.A.")</f>
        <v xml:space="preserve">   OUVRAGES EN CAOUTCHOUC VULCANISÉ NON-DURCI, N.D.A.</v>
      </c>
      <c r="C7831">
        <v>91329</v>
      </c>
      <c r="D7831">
        <v>377</v>
      </c>
    </row>
    <row r="7832" spans="1:4" x14ac:dyDescent="0.25">
      <c r="A7832" t="str">
        <f>T("   420292")</f>
        <v xml:space="preserve">   420292</v>
      </c>
      <c r="B7832" t="s">
        <v>164</v>
      </c>
      <c r="C7832">
        <v>495554</v>
      </c>
      <c r="D7832">
        <v>544</v>
      </c>
    </row>
    <row r="7833" spans="1:4" x14ac:dyDescent="0.25">
      <c r="A7833" t="str">
        <f>T("   420299")</f>
        <v xml:space="preserve">   420299</v>
      </c>
      <c r="B7833" t="s">
        <v>165</v>
      </c>
      <c r="C7833">
        <v>312057</v>
      </c>
      <c r="D7833">
        <v>227</v>
      </c>
    </row>
    <row r="7834" spans="1:4" x14ac:dyDescent="0.25">
      <c r="A7834" t="str">
        <f>T("   441400")</f>
        <v xml:space="preserve">   441400</v>
      </c>
      <c r="B7834" t="str">
        <f>T("   Cadres en bois pour tableaux, photographies, miroirs ou objets simil.")</f>
        <v xml:space="preserve">   Cadres en bois pour tableaux, photographies, miroirs ou objets simil.</v>
      </c>
      <c r="C7834">
        <v>144800</v>
      </c>
      <c r="D7834">
        <v>1163</v>
      </c>
    </row>
    <row r="7835" spans="1:4" x14ac:dyDescent="0.25">
      <c r="A7835" t="str">
        <f>T("   441700")</f>
        <v xml:space="preserve">   441700</v>
      </c>
      <c r="B7835" t="s">
        <v>187</v>
      </c>
      <c r="C7835">
        <v>5825</v>
      </c>
      <c r="D7835">
        <v>400</v>
      </c>
    </row>
    <row r="7836" spans="1:4" x14ac:dyDescent="0.25">
      <c r="A7836" t="str">
        <f>T("   441820")</f>
        <v xml:space="preserve">   441820</v>
      </c>
      <c r="B7836" t="str">
        <f>T("   Portes et leurs cadres, chambranles et seuils, en bois")</f>
        <v xml:space="preserve">   Portes et leurs cadres, chambranles et seuils, en bois</v>
      </c>
      <c r="C7836">
        <v>1414525</v>
      </c>
      <c r="D7836">
        <v>3500</v>
      </c>
    </row>
    <row r="7837" spans="1:4" x14ac:dyDescent="0.25">
      <c r="A7837" t="str">
        <f>T("   480220")</f>
        <v xml:space="preserve">   480220</v>
      </c>
      <c r="B7837" t="str">
        <f>T("   Papiers et cartons supports pour papiers ou cartons photosensibles, sensibles à la chaleur ou électrosensibles, non couchés ni enduits, en rouleaux ou en feuilles de forme carrée ou rectangulaire, de tout format")</f>
        <v xml:space="preserve">   Papiers et cartons supports pour papiers ou cartons photosensibles, sensibles à la chaleur ou électrosensibles, non couchés ni enduits, en rouleaux ou en feuilles de forme carrée ou rectangulaire, de tout format</v>
      </c>
      <c r="C7837">
        <v>207079</v>
      </c>
      <c r="D7837">
        <v>155</v>
      </c>
    </row>
    <row r="7838" spans="1:4" x14ac:dyDescent="0.25">
      <c r="A7838" t="str">
        <f>T("   480300")</f>
        <v xml:space="preserve">   480300</v>
      </c>
      <c r="B7838" t="s">
        <v>198</v>
      </c>
      <c r="C7838">
        <v>62685501</v>
      </c>
      <c r="D7838">
        <v>203490</v>
      </c>
    </row>
    <row r="7839" spans="1:4" x14ac:dyDescent="0.25">
      <c r="A7839" t="str">
        <f>T("   481029")</f>
        <v xml:space="preserve">   481029</v>
      </c>
      <c r="B7839" t="s">
        <v>209</v>
      </c>
      <c r="C7839">
        <v>234276</v>
      </c>
      <c r="D7839">
        <v>904</v>
      </c>
    </row>
    <row r="7840" spans="1:4" x14ac:dyDescent="0.25">
      <c r="A7840" t="str">
        <f>T("   481141")</f>
        <v xml:space="preserve">   481141</v>
      </c>
      <c r="B7840" t="str">
        <f>T("   Papiers et cartons, auto-adhésifs, coloriés en surface, décorés en surface ou imprimés, en rouleaux ou en feuilles de forme carrée ou rectangulaire, de tout format (à l'excl. des produits du n° 4810)")</f>
        <v xml:space="preserve">   Papiers et cartons, auto-adhésifs, coloriés en surface, décorés en surface ou imprimés, en rouleaux ou en feuilles de forme carrée ou rectangulaire, de tout format (à l'excl. des produits du n° 4810)</v>
      </c>
      <c r="C7840">
        <v>128911</v>
      </c>
      <c r="D7840">
        <v>375</v>
      </c>
    </row>
    <row r="7841" spans="1:4" x14ac:dyDescent="0.25">
      <c r="A7841" t="str">
        <f>T("   481820")</f>
        <v xml:space="preserve">   481820</v>
      </c>
      <c r="B7841" t="str">
        <f>T("   Mouchoirs, serviettes à démaquiller et essuie-mains, en pâte à papier, papier, ouate de cellulose ou nappes de fibres de cellulose")</f>
        <v xml:space="preserve">   Mouchoirs, serviettes à démaquiller et essuie-mains, en pâte à papier, papier, ouate de cellulose ou nappes de fibres de cellulose</v>
      </c>
      <c r="C7841">
        <v>71025</v>
      </c>
      <c r="D7841">
        <v>230</v>
      </c>
    </row>
    <row r="7842" spans="1:4" x14ac:dyDescent="0.25">
      <c r="A7842" t="str">
        <f>T("   481830")</f>
        <v xml:space="preserve">   481830</v>
      </c>
      <c r="B7842" t="str">
        <f>T("   Nappes et serviettes de table, en pâte à papier, papier, ouate de cellulose ou nappes de fibres de cellulose")</f>
        <v xml:space="preserve">   Nappes et serviettes de table, en pâte à papier, papier, ouate de cellulose ou nappes de fibres de cellulose</v>
      </c>
      <c r="C7842">
        <v>3676883</v>
      </c>
      <c r="D7842">
        <v>7043</v>
      </c>
    </row>
    <row r="7843" spans="1:4" x14ac:dyDescent="0.25">
      <c r="A7843" t="str">
        <f>T("   481840")</f>
        <v xml:space="preserve">   481840</v>
      </c>
      <c r="B7843"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7843">
        <v>35884417</v>
      </c>
      <c r="D7843">
        <v>62397</v>
      </c>
    </row>
    <row r="7844" spans="1:4" x14ac:dyDescent="0.25">
      <c r="A7844" t="str">
        <f>T("   481890")</f>
        <v xml:space="preserve">   481890</v>
      </c>
      <c r="B7844" t="s">
        <v>217</v>
      </c>
      <c r="C7844">
        <v>236146</v>
      </c>
      <c r="D7844">
        <v>2700</v>
      </c>
    </row>
    <row r="7845" spans="1:4" x14ac:dyDescent="0.25">
      <c r="A7845" t="str">
        <f>T("   482010")</f>
        <v xml:space="preserve">   482010</v>
      </c>
      <c r="B7845" t="str">
        <f>T("   Registres, livres comptables, carnets de notes, de commandes ou de quittances, blocs-mémorandums, blocs de papier à lettres, agendas et ouvrages simil., en papier ou carton")</f>
        <v xml:space="preserve">   Registres, livres comptables, carnets de notes, de commandes ou de quittances, blocs-mémorandums, blocs de papier à lettres, agendas et ouvrages simil., en papier ou carton</v>
      </c>
      <c r="C7845">
        <v>122640</v>
      </c>
      <c r="D7845">
        <v>1403</v>
      </c>
    </row>
    <row r="7846" spans="1:4" x14ac:dyDescent="0.25">
      <c r="A7846" t="str">
        <f>T("   482110")</f>
        <v xml:space="preserve">   482110</v>
      </c>
      <c r="B7846" t="str">
        <f>T("   ÉTIQUETTES DE TOUS GENRES, EN PAPIER OU EN CARTON, IMPRIMÉES")</f>
        <v xml:space="preserve">   ÉTIQUETTES DE TOUS GENRES, EN PAPIER OU EN CARTON, IMPRIMÉES</v>
      </c>
      <c r="C7846">
        <v>444836</v>
      </c>
      <c r="D7846">
        <v>335</v>
      </c>
    </row>
    <row r="7847" spans="1:4" x14ac:dyDescent="0.25">
      <c r="A7847" t="str">
        <f>T("   482360")</f>
        <v xml:space="preserve">   482360</v>
      </c>
      <c r="B7847" t="str">
        <f>T("   Plateaux, plats, assiettes, tasses, gobelets et articles simil., en papier ou en carton")</f>
        <v xml:space="preserve">   Plateaux, plats, assiettes, tasses, gobelets et articles simil., en papier ou en carton</v>
      </c>
      <c r="C7847">
        <v>292840</v>
      </c>
      <c r="D7847">
        <v>1613</v>
      </c>
    </row>
    <row r="7848" spans="1:4" x14ac:dyDescent="0.25">
      <c r="A7848" t="str">
        <f>T("   482390")</f>
        <v xml:space="preserve">   482390</v>
      </c>
      <c r="B7848" t="s">
        <v>220</v>
      </c>
      <c r="C7848">
        <v>355000</v>
      </c>
      <c r="D7848">
        <v>793</v>
      </c>
    </row>
    <row r="7849" spans="1:4" x14ac:dyDescent="0.25">
      <c r="A7849" t="str">
        <f>T("   490199")</f>
        <v xml:space="preserve">   490199</v>
      </c>
      <c r="B7849"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7849">
        <v>125000</v>
      </c>
      <c r="D7849">
        <v>195</v>
      </c>
    </row>
    <row r="7850" spans="1:4" x14ac:dyDescent="0.25">
      <c r="A7850" t="str">
        <f>T("   490210")</f>
        <v xml:space="preserve">   490210</v>
      </c>
      <c r="B7850" t="str">
        <f>T("   Journaux et publications périodiques imprimés, même illustrés ou contenant de la publicité, paraissant au moins quatre fois par semaine")</f>
        <v xml:space="preserve">   Journaux et publications périodiques imprimés, même illustrés ou contenant de la publicité, paraissant au moins quatre fois par semaine</v>
      </c>
      <c r="C7850">
        <v>30611</v>
      </c>
      <c r="D7850">
        <v>119</v>
      </c>
    </row>
    <row r="7851" spans="1:4" x14ac:dyDescent="0.25">
      <c r="A7851" t="str">
        <f>T("   491110")</f>
        <v xml:space="preserve">   491110</v>
      </c>
      <c r="B7851" t="str">
        <f>T("   Imprimés publicitaires, catalogues commerciaux et simil.")</f>
        <v xml:space="preserve">   Imprimés publicitaires, catalogues commerciaux et simil.</v>
      </c>
      <c r="C7851">
        <v>144331</v>
      </c>
      <c r="D7851">
        <v>321</v>
      </c>
    </row>
    <row r="7852" spans="1:4" x14ac:dyDescent="0.25">
      <c r="A7852" t="str">
        <f>T("   560110")</f>
        <v xml:space="preserve">   560110</v>
      </c>
      <c r="B7852" t="str">
        <f>T("   Serviettes et tampons hygiéniques, couches pour bébés et articles hygiéniques simil., en ouates")</f>
        <v xml:space="preserve">   Serviettes et tampons hygiéniques, couches pour bébés et articles hygiéniques simil., en ouates</v>
      </c>
      <c r="C7852">
        <v>281378</v>
      </c>
      <c r="D7852">
        <v>3386</v>
      </c>
    </row>
    <row r="7853" spans="1:4" x14ac:dyDescent="0.25">
      <c r="A7853" t="str">
        <f>T("   560121")</f>
        <v xml:space="preserve">   560121</v>
      </c>
      <c r="B7853" t="s">
        <v>244</v>
      </c>
      <c r="C7853">
        <v>12902</v>
      </c>
      <c r="D7853">
        <v>27</v>
      </c>
    </row>
    <row r="7854" spans="1:4" x14ac:dyDescent="0.25">
      <c r="A7854" t="str">
        <f>T("   591190")</f>
        <v xml:space="preserve">   591190</v>
      </c>
      <c r="B7854" t="str">
        <f>T("   Produits et articles textiles pour usages techniques, en matières textiles, visés à la note 7 du présent chapitre, n.d.a.")</f>
        <v xml:space="preserve">   Produits et articles textiles pour usages techniques, en matières textiles, visés à la note 7 du présent chapitre, n.d.a.</v>
      </c>
      <c r="C7854">
        <v>1625</v>
      </c>
      <c r="D7854">
        <v>5</v>
      </c>
    </row>
    <row r="7855" spans="1:4" x14ac:dyDescent="0.25">
      <c r="A7855" t="str">
        <f>T("   610910")</f>
        <v xml:space="preserve">   610910</v>
      </c>
      <c r="B7855" t="str">
        <f>T("   T-shirts et maillots de corps, en bonneterie, de coton,")</f>
        <v xml:space="preserve">   T-shirts et maillots de corps, en bonneterie, de coton,</v>
      </c>
      <c r="C7855">
        <v>61424</v>
      </c>
      <c r="D7855">
        <v>40</v>
      </c>
    </row>
    <row r="7856" spans="1:4" x14ac:dyDescent="0.25">
      <c r="A7856" t="str">
        <f>T("   610990")</f>
        <v xml:space="preserve">   610990</v>
      </c>
      <c r="B7856" t="str">
        <f>T("   T-shirts et maillots de corps, en bonneterie, de matières textiles (sauf de coton)")</f>
        <v xml:space="preserve">   T-shirts et maillots de corps, en bonneterie, de matières textiles (sauf de coton)</v>
      </c>
      <c r="C7856">
        <v>11528</v>
      </c>
      <c r="D7856">
        <v>8</v>
      </c>
    </row>
    <row r="7857" spans="1:4" x14ac:dyDescent="0.25">
      <c r="A7857" t="str">
        <f>T("   620590")</f>
        <v xml:space="preserve">   620590</v>
      </c>
      <c r="B7857"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7857">
        <v>3700203</v>
      </c>
      <c r="D7857">
        <v>6678</v>
      </c>
    </row>
    <row r="7858" spans="1:4" x14ac:dyDescent="0.25">
      <c r="A7858" t="str">
        <f>T("   621139")</f>
        <v xml:space="preserve">   621139</v>
      </c>
      <c r="B7858" t="str">
        <f>T("   Survêtements de sport 'trainings' et autres vêtements n.d.a., de matières textiles, pour hommes ou garçonnets (autres que de laine, poils fins, coton, fibres synthétiques ou artificielles, autres qu'en bonneterie)")</f>
        <v xml:space="preserve">   Survêtements de sport 'trainings' et autres vêtements n.d.a., de matières textiles, pour hommes ou garçonnets (autres que de laine, poils fins, coton, fibres synthétiques ou artificielles, autres qu'en bonneterie)</v>
      </c>
      <c r="C7858">
        <v>2040600</v>
      </c>
      <c r="D7858">
        <v>3207</v>
      </c>
    </row>
    <row r="7859" spans="1:4" x14ac:dyDescent="0.25">
      <c r="A7859" t="str">
        <f>T("   630120")</f>
        <v xml:space="preserve">   630120</v>
      </c>
      <c r="B7859" t="str">
        <f>T("   Couvertures, de laine ou de poils fins (autres que chauffantes électriques et sauf linge de table, couvre-lits, linge de lit et les articles simil. du n° 9404 [sommiers et autres articles de literie])")</f>
        <v xml:space="preserve">   Couvertures, de laine ou de poils fins (autres que chauffantes électriques et sauf linge de table, couvre-lits, linge de lit et les articles simil. du n° 9404 [sommiers et autres articles de literie])</v>
      </c>
      <c r="C7859">
        <v>31273</v>
      </c>
      <c r="D7859">
        <v>9</v>
      </c>
    </row>
    <row r="7860" spans="1:4" x14ac:dyDescent="0.25">
      <c r="A7860" t="str">
        <f>T("   630221")</f>
        <v xml:space="preserve">   630221</v>
      </c>
      <c r="B7860" t="str">
        <f>T("   Linge de lit de coton, imprimé (autre qu'en bonneterie)")</f>
        <v xml:space="preserve">   Linge de lit de coton, imprimé (autre qu'en bonneterie)</v>
      </c>
      <c r="C7860">
        <v>31273</v>
      </c>
      <c r="D7860">
        <v>6</v>
      </c>
    </row>
    <row r="7861" spans="1:4" x14ac:dyDescent="0.25">
      <c r="A7861" t="str">
        <f>T("   630260")</f>
        <v xml:space="preserve">   630260</v>
      </c>
      <c r="B7861" t="str">
        <f>T("   Linge de toilette ou de cuisine, bouclé du genre éponge, de coton (sauf serpillières, chiffons à parquet, lavettes et chamoisettes)")</f>
        <v xml:space="preserve">   Linge de toilette ou de cuisine, bouclé du genre éponge, de coton (sauf serpillières, chiffons à parquet, lavettes et chamoisettes)</v>
      </c>
      <c r="C7861">
        <v>525616</v>
      </c>
      <c r="D7861">
        <v>741</v>
      </c>
    </row>
    <row r="7862" spans="1:4" x14ac:dyDescent="0.25">
      <c r="A7862" t="str">
        <f>T("   630790")</f>
        <v xml:space="preserve">   630790</v>
      </c>
      <c r="B7862" t="str">
        <f>T("   Articles de matières textiles, confectionnés, y.c. les patrons de vêtements n.d.a.")</f>
        <v xml:space="preserve">   Articles de matières textiles, confectionnés, y.c. les patrons de vêtements n.d.a.</v>
      </c>
      <c r="C7862">
        <v>5825</v>
      </c>
      <c r="D7862">
        <v>10</v>
      </c>
    </row>
    <row r="7863" spans="1:4" x14ac:dyDescent="0.25">
      <c r="A7863" t="str">
        <f>T("   640590")</f>
        <v xml:space="preserve">   640590</v>
      </c>
      <c r="B7863" t="s">
        <v>289</v>
      </c>
      <c r="C7863">
        <v>7251277</v>
      </c>
      <c r="D7863">
        <v>5750</v>
      </c>
    </row>
    <row r="7864" spans="1:4" x14ac:dyDescent="0.25">
      <c r="A7864" t="str">
        <f>T("   650590")</f>
        <v xml:space="preserve">   650590</v>
      </c>
      <c r="B7864" t="s">
        <v>290</v>
      </c>
      <c r="C7864">
        <v>5153</v>
      </c>
      <c r="D7864">
        <v>12</v>
      </c>
    </row>
    <row r="7865" spans="1:4" x14ac:dyDescent="0.25">
      <c r="A7865" t="str">
        <f>T("   650699")</f>
        <v xml:space="preserve">   650699</v>
      </c>
      <c r="B7865" t="str">
        <f>T("   Chapeaux et autres coiffures, même garnis, n.d.a.")</f>
        <v xml:space="preserve">   Chapeaux et autres coiffures, même garnis, n.d.a.</v>
      </c>
      <c r="C7865">
        <v>60801</v>
      </c>
      <c r="D7865">
        <v>225</v>
      </c>
    </row>
    <row r="7866" spans="1:4" x14ac:dyDescent="0.25">
      <c r="A7866" t="str">
        <f>T("   680520")</f>
        <v xml:space="preserve">   680520</v>
      </c>
      <c r="B7866" t="str">
        <f>T("   ABRASIFS NATURELS OU ARTIFICIELS EN POUDRE OU EN GRAINS, APPLIQUÉS SUR FOND EN MATIÈRES TEXTILES SEULEMENT, MÊME DÉCOUPÉS, COUSUS OU AUTREMENT ASSEMBLÉS")</f>
        <v xml:space="preserve">   ABRASIFS NATURELS OU ARTIFICIELS EN POUDRE OU EN GRAINS, APPLIQUÉS SUR FOND EN MATIÈRES TEXTILES SEULEMENT, MÊME DÉCOUPÉS, COUSUS OU AUTREMENT ASSEMBLÉS</v>
      </c>
      <c r="C7866">
        <v>877457</v>
      </c>
      <c r="D7866">
        <v>357</v>
      </c>
    </row>
    <row r="7867" spans="1:4" x14ac:dyDescent="0.25">
      <c r="A7867" t="str">
        <f>T("   690890")</f>
        <v xml:space="preserve">   690890</v>
      </c>
      <c r="B7867" t="s">
        <v>311</v>
      </c>
      <c r="C7867">
        <v>1089682</v>
      </c>
      <c r="D7867">
        <v>8800</v>
      </c>
    </row>
    <row r="7868" spans="1:4" x14ac:dyDescent="0.25">
      <c r="A7868" t="str">
        <f>T("   700510")</f>
        <v xml:space="preserve">   700510</v>
      </c>
      <c r="B7868" t="str">
        <f>T("   PLAQUES OU FEUILLES EN GLACE [VERRE FLOTTÉ ET VERRE DOUCI OU POLI SUR UNE OU DEUX FACES], À COUCHE ABSORBANTE, RÉFLÉCHISSANTE OU NON-RÉFLÉCHISSANTE, MAIS NON AUTREMENT TRAVAILLÉE (SAUF ARMÉE)")</f>
        <v xml:space="preserve">   PLAQUES OU FEUILLES EN GLACE [VERRE FLOTTÉ ET VERRE DOUCI OU POLI SUR UNE OU DEUX FACES], À COUCHE ABSORBANTE, RÉFLÉCHISSANTE OU NON-RÉFLÉCHISSANTE, MAIS NON AUTREMENT TRAVAILLÉE (SAUF ARMÉE)</v>
      </c>
      <c r="C7868">
        <v>741091</v>
      </c>
      <c r="D7868">
        <v>1333</v>
      </c>
    </row>
    <row r="7869" spans="1:4" x14ac:dyDescent="0.25">
      <c r="A7869" t="str">
        <f>T("   700521")</f>
        <v xml:space="preserve">   700521</v>
      </c>
      <c r="B7869" t="s">
        <v>317</v>
      </c>
      <c r="C7869">
        <v>3549806</v>
      </c>
      <c r="D7869">
        <v>10485</v>
      </c>
    </row>
    <row r="7870" spans="1:4" x14ac:dyDescent="0.25">
      <c r="A7870" t="str">
        <f>T("   700600")</f>
        <v xml:space="preserve">   700600</v>
      </c>
      <c r="B7870" t="s">
        <v>319</v>
      </c>
      <c r="C7870">
        <v>865107</v>
      </c>
      <c r="D7870">
        <v>316</v>
      </c>
    </row>
    <row r="7871" spans="1:4" x14ac:dyDescent="0.25">
      <c r="A7871" t="str">
        <f>T("   700992")</f>
        <v xml:space="preserve">   700992</v>
      </c>
      <c r="B7871" t="str">
        <f>T("   Miroirs, en verre encadrés (sauf miroirs rétroviseurs pour véhicules)")</f>
        <v xml:space="preserve">   Miroirs, en verre encadrés (sauf miroirs rétroviseurs pour véhicules)</v>
      </c>
      <c r="C7871">
        <v>95437</v>
      </c>
      <c r="D7871">
        <v>250</v>
      </c>
    </row>
    <row r="7872" spans="1:4" x14ac:dyDescent="0.25">
      <c r="A7872" t="str">
        <f>T("   701310")</f>
        <v xml:space="preserve">   701310</v>
      </c>
      <c r="B7872" t="s">
        <v>327</v>
      </c>
      <c r="C7872">
        <v>10945589</v>
      </c>
      <c r="D7872">
        <v>41000</v>
      </c>
    </row>
    <row r="7873" spans="1:4" x14ac:dyDescent="0.25">
      <c r="A7873" t="str">
        <f>T("   701329")</f>
        <v xml:space="preserve">   701329</v>
      </c>
      <c r="B7873" t="str">
        <f>T("   Verres à boire (autres qu'en vitrocérame, autres qu'en cristal au plomb)")</f>
        <v xml:space="preserve">   Verres à boire (autres qu'en vitrocérame, autres qu'en cristal au plomb)</v>
      </c>
      <c r="C7873">
        <v>3711850</v>
      </c>
      <c r="D7873">
        <v>14359.37</v>
      </c>
    </row>
    <row r="7874" spans="1:4" x14ac:dyDescent="0.25">
      <c r="A7874" t="str">
        <f>T("   701339")</f>
        <v xml:space="preserve">   701339</v>
      </c>
      <c r="B7874" t="s">
        <v>330</v>
      </c>
      <c r="C7874">
        <v>1558822</v>
      </c>
      <c r="D7874">
        <v>4924.63</v>
      </c>
    </row>
    <row r="7875" spans="1:4" x14ac:dyDescent="0.25">
      <c r="A7875" t="str">
        <f>T("   730630")</f>
        <v xml:space="preserve">   730630</v>
      </c>
      <c r="B7875" t="s">
        <v>351</v>
      </c>
      <c r="C7875">
        <v>61194</v>
      </c>
      <c r="D7875">
        <v>39</v>
      </c>
    </row>
    <row r="7876" spans="1:4" x14ac:dyDescent="0.25">
      <c r="A7876" t="str">
        <f>T("   730840")</f>
        <v xml:space="preserve">   730840</v>
      </c>
      <c r="B7876" t="str">
        <f>T("   Matériel d'échafaudage, de coffrage ou d'étayage, en fer ou en acier (autre que palplanches assemblées et coffrages pour béton, qui présentent les caractéristiques de moules)")</f>
        <v xml:space="preserve">   Matériel d'échafaudage, de coffrage ou d'étayage, en fer ou en acier (autre que palplanches assemblées et coffrages pour béton, qui présentent les caractéristiques de moules)</v>
      </c>
      <c r="C7876">
        <v>13260259</v>
      </c>
      <c r="D7876">
        <v>41000</v>
      </c>
    </row>
    <row r="7877" spans="1:4" x14ac:dyDescent="0.25">
      <c r="A7877" t="str">
        <f>T("   730890")</f>
        <v xml:space="preserve">   730890</v>
      </c>
      <c r="B7877" t="s">
        <v>355</v>
      </c>
      <c r="C7877">
        <v>5165174</v>
      </c>
      <c r="D7877">
        <v>56</v>
      </c>
    </row>
    <row r="7878" spans="1:4" x14ac:dyDescent="0.25">
      <c r="A7878" t="str">
        <f>T("   730900")</f>
        <v xml:space="preserve">   730900</v>
      </c>
      <c r="B7878" t="s">
        <v>356</v>
      </c>
      <c r="C7878">
        <v>532778</v>
      </c>
      <c r="D7878">
        <v>696</v>
      </c>
    </row>
    <row r="7879" spans="1:4" x14ac:dyDescent="0.25">
      <c r="A7879" t="str">
        <f>T("   731700")</f>
        <v xml:space="preserve">   731700</v>
      </c>
      <c r="B7879" t="str">
        <f>T("   Pointes, clous, punaises, crampons appointés, agrafes ondulées ou biseautées et articles simil., en fonte, fer ou acier, même avec tête en autre matière (à l'excl. de ceux avec tête en cuivre et à l'excl. des agrafes en barrettes)")</f>
        <v xml:space="preserve">   Pointes, clous, punaises, crampons appointés, agrafes ondulées ou biseautées et articles simil., en fonte, fer ou acier, même avec tête en autre matière (à l'excl. de ceux avec tête en cuivre et à l'excl. des agrafes en barrettes)</v>
      </c>
      <c r="C7879">
        <v>467677</v>
      </c>
      <c r="D7879">
        <v>25</v>
      </c>
    </row>
    <row r="7880" spans="1:4" x14ac:dyDescent="0.25">
      <c r="A7880" t="str">
        <f>T("   731815")</f>
        <v xml:space="preserve">   731815</v>
      </c>
      <c r="B7880" t="s">
        <v>359</v>
      </c>
      <c r="C7880">
        <v>16777</v>
      </c>
      <c r="D7880">
        <v>27</v>
      </c>
    </row>
    <row r="7881" spans="1:4" x14ac:dyDescent="0.25">
      <c r="A7881" t="str">
        <f>T("   731816")</f>
        <v xml:space="preserve">   731816</v>
      </c>
      <c r="B7881" t="str">
        <f>T("   ÉCROUS EN FONTE, FER OU ACIER")</f>
        <v xml:space="preserve">   ÉCROUS EN FONTE, FER OU ACIER</v>
      </c>
      <c r="C7881">
        <v>19174</v>
      </c>
      <c r="D7881">
        <v>1968.37</v>
      </c>
    </row>
    <row r="7882" spans="1:4" x14ac:dyDescent="0.25">
      <c r="A7882" t="str">
        <f>T("   731822")</f>
        <v xml:space="preserve">   731822</v>
      </c>
      <c r="B7882" t="str">
        <f>T("   Rondelles en fonte, fer ou acier (sauf rondelles destinées à faire ressort et autres rondelles de blocage)")</f>
        <v xml:space="preserve">   Rondelles en fonte, fer ou acier (sauf rondelles destinées à faire ressort et autres rondelles de blocage)</v>
      </c>
      <c r="C7882">
        <v>5391335</v>
      </c>
      <c r="D7882">
        <v>2000</v>
      </c>
    </row>
    <row r="7883" spans="1:4" x14ac:dyDescent="0.25">
      <c r="A7883" t="str">
        <f>T("   732090")</f>
        <v xml:space="preserve">   732090</v>
      </c>
      <c r="B7883" t="s">
        <v>360</v>
      </c>
      <c r="C7883">
        <v>122527</v>
      </c>
      <c r="D7883">
        <v>80</v>
      </c>
    </row>
    <row r="7884" spans="1:4" x14ac:dyDescent="0.25">
      <c r="A7884" t="str">
        <f>T("   732111")</f>
        <v xml:space="preserve">   732111</v>
      </c>
      <c r="B7884" t="s">
        <v>361</v>
      </c>
      <c r="C7884">
        <v>17369310</v>
      </c>
      <c r="D7884">
        <v>15177</v>
      </c>
    </row>
    <row r="7885" spans="1:4" x14ac:dyDescent="0.25">
      <c r="A7885" t="str">
        <f>T("   732112")</f>
        <v xml:space="preserve">   732112</v>
      </c>
      <c r="B7885" t="s">
        <v>362</v>
      </c>
      <c r="C7885">
        <v>121352</v>
      </c>
      <c r="D7885">
        <v>342</v>
      </c>
    </row>
    <row r="7886" spans="1:4" x14ac:dyDescent="0.25">
      <c r="A7886" t="str">
        <f>T("   732190")</f>
        <v xml:space="preserve">   732190</v>
      </c>
      <c r="B7886" t="str">
        <f>T("   Parties des appareils ménagers chauffants non-électriques du n° 7321, n.d.a.")</f>
        <v xml:space="preserve">   Parties des appareils ménagers chauffants non-électriques du n° 7321, n.d.a.</v>
      </c>
      <c r="C7886">
        <v>9525</v>
      </c>
      <c r="D7886">
        <v>120</v>
      </c>
    </row>
    <row r="7887" spans="1:4" x14ac:dyDescent="0.25">
      <c r="A7887" t="str">
        <f>T("   732392")</f>
        <v xml:space="preserve">   732392</v>
      </c>
      <c r="B7887" t="s">
        <v>365</v>
      </c>
      <c r="C7887">
        <v>1917400</v>
      </c>
      <c r="D7887">
        <v>4000</v>
      </c>
    </row>
    <row r="7888" spans="1:4" x14ac:dyDescent="0.25">
      <c r="A7888" t="str">
        <f>T("   732393")</f>
        <v xml:space="preserve">   732393</v>
      </c>
      <c r="B7888" t="s">
        <v>366</v>
      </c>
      <c r="C7888">
        <v>222686</v>
      </c>
      <c r="D7888">
        <v>400</v>
      </c>
    </row>
    <row r="7889" spans="1:4" x14ac:dyDescent="0.25">
      <c r="A7889" t="str">
        <f>T("   732399")</f>
        <v xml:space="preserve">   732399</v>
      </c>
      <c r="B7889" t="s">
        <v>368</v>
      </c>
      <c r="C7889">
        <v>387713</v>
      </c>
      <c r="D7889">
        <v>1203</v>
      </c>
    </row>
    <row r="7890" spans="1:4" x14ac:dyDescent="0.25">
      <c r="A7890" t="str">
        <f>T("   732410")</f>
        <v xml:space="preserve">   732410</v>
      </c>
      <c r="B7890" t="str">
        <f>T("   ÉVIERS ET LAVABOS EN ACIER INOXYDABLE")</f>
        <v xml:space="preserve">   ÉVIERS ET LAVABOS EN ACIER INOXYDABLE</v>
      </c>
      <c r="C7890">
        <v>1421219</v>
      </c>
      <c r="D7890">
        <v>291</v>
      </c>
    </row>
    <row r="7891" spans="1:4" x14ac:dyDescent="0.25">
      <c r="A7891" t="str">
        <f>T("   732619")</f>
        <v xml:space="preserve">   732619</v>
      </c>
      <c r="B7891" t="str">
        <f>T("   Ouvrages en fer ou en acier, forgés ou estampés mais non autrement travaillés, n.d.a. (sauf boulets et articles simil. pour broyeurs)")</f>
        <v xml:space="preserve">   Ouvrages en fer ou en acier, forgés ou estampés mais non autrement travaillés, n.d.a. (sauf boulets et articles simil. pour broyeurs)</v>
      </c>
      <c r="C7891">
        <v>800271</v>
      </c>
      <c r="D7891">
        <v>4200</v>
      </c>
    </row>
    <row r="7892" spans="1:4" x14ac:dyDescent="0.25">
      <c r="A7892" t="str">
        <f>T("   732690")</f>
        <v xml:space="preserve">   732690</v>
      </c>
      <c r="B7892"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7892">
        <v>22143</v>
      </c>
      <c r="D7892">
        <v>86</v>
      </c>
    </row>
    <row r="7893" spans="1:4" x14ac:dyDescent="0.25">
      <c r="A7893" t="str">
        <f>T("   760410")</f>
        <v xml:space="preserve">   760410</v>
      </c>
      <c r="B7893" t="str">
        <f>T("   BARRES ET PROFILÉS EN ALUMINIUM NON-ALLIÉ, N.D.A.")</f>
        <v xml:space="preserve">   BARRES ET PROFILÉS EN ALUMINIUM NON-ALLIÉ, N.D.A.</v>
      </c>
      <c r="C7893">
        <v>871271</v>
      </c>
      <c r="D7893">
        <v>3371</v>
      </c>
    </row>
    <row r="7894" spans="1:4" x14ac:dyDescent="0.25">
      <c r="A7894" t="str">
        <f>T("   760429")</f>
        <v xml:space="preserve">   760429</v>
      </c>
      <c r="B7894" t="str">
        <f>T("   Barres et profilés pleins en alliages d'aluminium, n.d.a.")</f>
        <v xml:space="preserve">   Barres et profilés pleins en alliages d'aluminium, n.d.a.</v>
      </c>
      <c r="C7894">
        <v>12400619</v>
      </c>
      <c r="D7894">
        <v>21468</v>
      </c>
    </row>
    <row r="7895" spans="1:4" x14ac:dyDescent="0.25">
      <c r="A7895" t="str">
        <f>T("   760719")</f>
        <v xml:space="preserve">   760719</v>
      </c>
      <c r="B7895" t="str">
        <f>T("   Feuilles et bandes minces d'aluminium, sans support, laminées et autrement traitées, d'une épaisseur &lt;= 0,2 mm (sauf feuilles pour le marquage au fer du n° 3212 et sauf feuilles travaillées pour la décoration des sapins de Noël)")</f>
        <v xml:space="preserve">   Feuilles et bandes minces d'aluminium, sans support, laminées et autrement traitées, d'une épaisseur &lt;= 0,2 mm (sauf feuilles pour le marquage au fer du n° 3212 et sauf feuilles travaillées pour la décoration des sapins de Noël)</v>
      </c>
      <c r="C7895">
        <v>1005091</v>
      </c>
      <c r="D7895">
        <v>1418</v>
      </c>
    </row>
    <row r="7896" spans="1:4" x14ac:dyDescent="0.25">
      <c r="A7896" t="str">
        <f>T("   761010")</f>
        <v xml:space="preserve">   761010</v>
      </c>
      <c r="B7896" t="str">
        <f>T("   Portes, fenêtres et leurs cadres, chambranles et seuils, en aluminium (sauf pièces de garnissage)")</f>
        <v xml:space="preserve">   Portes, fenêtres et leurs cadres, chambranles et seuils, en aluminium (sauf pièces de garnissage)</v>
      </c>
      <c r="C7896">
        <v>9977191</v>
      </c>
      <c r="D7896">
        <v>20464</v>
      </c>
    </row>
    <row r="7897" spans="1:4" x14ac:dyDescent="0.25">
      <c r="A7897" t="str">
        <f>T("   761519")</f>
        <v xml:space="preserve">   761519</v>
      </c>
      <c r="B7897" t="s">
        <v>373</v>
      </c>
      <c r="C7897">
        <v>500000</v>
      </c>
      <c r="D7897">
        <v>398</v>
      </c>
    </row>
    <row r="7898" spans="1:4" x14ac:dyDescent="0.25">
      <c r="A7898" t="str">
        <f>T("   761610")</f>
        <v xml:space="preserve">   761610</v>
      </c>
      <c r="B7898" t="s">
        <v>374</v>
      </c>
      <c r="C7898">
        <v>10066</v>
      </c>
      <c r="D7898">
        <v>16</v>
      </c>
    </row>
    <row r="7899" spans="1:4" x14ac:dyDescent="0.25">
      <c r="A7899" t="str">
        <f>T("   761699")</f>
        <v xml:space="preserve">   761699</v>
      </c>
      <c r="B7899" t="str">
        <f>T("   Ouvrages en aluminium, n.d.a.")</f>
        <v xml:space="preserve">   Ouvrages en aluminium, n.d.a.</v>
      </c>
      <c r="C7899">
        <v>31157</v>
      </c>
      <c r="D7899">
        <v>23</v>
      </c>
    </row>
    <row r="7900" spans="1:4" x14ac:dyDescent="0.25">
      <c r="A7900" t="str">
        <f>T("   820110")</f>
        <v xml:space="preserve">   820110</v>
      </c>
      <c r="B7900" t="str">
        <f>T("   Bêches et pelles, avec partie travaillante en métaux communs")</f>
        <v xml:space="preserve">   Bêches et pelles, avec partie travaillante en métaux communs</v>
      </c>
      <c r="C7900">
        <v>326188</v>
      </c>
      <c r="D7900">
        <v>1200</v>
      </c>
    </row>
    <row r="7901" spans="1:4" x14ac:dyDescent="0.25">
      <c r="A7901" t="str">
        <f>T("   820220")</f>
        <v xml:space="preserve">   820220</v>
      </c>
      <c r="B7901" t="str">
        <f>T("   Lames de scies à ruban en métaux communs")</f>
        <v xml:space="preserve">   Lames de scies à ruban en métaux communs</v>
      </c>
      <c r="C7901">
        <v>576890</v>
      </c>
      <c r="D7901">
        <v>1417</v>
      </c>
    </row>
    <row r="7902" spans="1:4" x14ac:dyDescent="0.25">
      <c r="A7902" t="str">
        <f>T("   820559")</f>
        <v xml:space="preserve">   820559</v>
      </c>
      <c r="B7902" t="str">
        <f>T("   Outils à main, y.c. -les diamants de vitrier-, en métaux communs, n.d.a.")</f>
        <v xml:space="preserve">   Outils à main, y.c. -les diamants de vitrier-, en métaux communs, n.d.a.</v>
      </c>
      <c r="C7902">
        <v>241767</v>
      </c>
      <c r="D7902">
        <v>645</v>
      </c>
    </row>
    <row r="7903" spans="1:4" x14ac:dyDescent="0.25">
      <c r="A7903" t="str">
        <f>T("   830210")</f>
        <v xml:space="preserve">   830210</v>
      </c>
      <c r="B7903" t="str">
        <f>T("   Charnières de tous genres, y.c. les paumelles et pentures, en métaux communs")</f>
        <v xml:space="preserve">   Charnières de tous genres, y.c. les paumelles et pentures, en métaux communs</v>
      </c>
      <c r="C7903">
        <v>377136</v>
      </c>
      <c r="D7903">
        <v>991</v>
      </c>
    </row>
    <row r="7904" spans="1:4" x14ac:dyDescent="0.25">
      <c r="A7904" t="str">
        <f>T("   830249")</f>
        <v xml:space="preserve">   830249</v>
      </c>
      <c r="B7904" t="s">
        <v>381</v>
      </c>
      <c r="C7904">
        <v>174295</v>
      </c>
      <c r="D7904">
        <v>313</v>
      </c>
    </row>
    <row r="7905" spans="1:4" x14ac:dyDescent="0.25">
      <c r="A7905" t="str">
        <f>T("   830300")</f>
        <v xml:space="preserve">   830300</v>
      </c>
      <c r="B7905" t="str">
        <f>T("   Coffres-forts, portes blindées et compartiments pour chambres fortes, coffres et cassettes de sûreté et articles simil., en métaux communs")</f>
        <v xml:space="preserve">   Coffres-forts, portes blindées et compartiments pour chambres fortes, coffres et cassettes de sûreté et articles simil., en métaux communs</v>
      </c>
      <c r="C7905">
        <v>225226</v>
      </c>
      <c r="D7905">
        <v>223</v>
      </c>
    </row>
    <row r="7906" spans="1:4" x14ac:dyDescent="0.25">
      <c r="A7906" t="str">
        <f>T("   830590")</f>
        <v xml:space="preserve">   830590</v>
      </c>
      <c r="B7906" t="s">
        <v>382</v>
      </c>
      <c r="C7906">
        <v>59439</v>
      </c>
      <c r="D7906">
        <v>98</v>
      </c>
    </row>
    <row r="7907" spans="1:4" x14ac:dyDescent="0.25">
      <c r="A7907" t="str">
        <f>T("   840999")</f>
        <v xml:space="preserve">   840999</v>
      </c>
      <c r="B7907"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7907">
        <v>3710602</v>
      </c>
      <c r="D7907">
        <v>6369.16</v>
      </c>
    </row>
    <row r="7908" spans="1:4" x14ac:dyDescent="0.25">
      <c r="A7908" t="str">
        <f>T("   841330")</f>
        <v xml:space="preserve">   841330</v>
      </c>
      <c r="B7908" t="str">
        <f>T("   Pompes à carburant, à huile ou à liquide de refroidissement pour moteurs à allumage par étincelles ou par compression")</f>
        <v xml:space="preserve">   Pompes à carburant, à huile ou à liquide de refroidissement pour moteurs à allumage par étincelles ou par compression</v>
      </c>
      <c r="C7908">
        <v>4972608</v>
      </c>
      <c r="D7908">
        <v>1161.75</v>
      </c>
    </row>
    <row r="7909" spans="1:4" x14ac:dyDescent="0.25">
      <c r="A7909" t="str">
        <f>T("   841340")</f>
        <v xml:space="preserve">   841340</v>
      </c>
      <c r="B7909" t="str">
        <f>T("   Pompes à béton")</f>
        <v xml:space="preserve">   Pompes à béton</v>
      </c>
      <c r="C7909">
        <v>23353999</v>
      </c>
      <c r="D7909">
        <v>8030</v>
      </c>
    </row>
    <row r="7910" spans="1:4" x14ac:dyDescent="0.25">
      <c r="A7910" t="str">
        <f>T("   841391")</f>
        <v xml:space="preserve">   841391</v>
      </c>
      <c r="B7910" t="str">
        <f>T("   Parties de pompes pour liquides, n.d.a.")</f>
        <v xml:space="preserve">   Parties de pompes pour liquides, n.d.a.</v>
      </c>
      <c r="C7910">
        <v>1177633</v>
      </c>
      <c r="D7910">
        <v>4035</v>
      </c>
    </row>
    <row r="7911" spans="1:4" x14ac:dyDescent="0.25">
      <c r="A7911" t="str">
        <f>T("   841430")</f>
        <v xml:space="preserve">   841430</v>
      </c>
      <c r="B7911" t="str">
        <f>T("   Compresseurs des types utilisés pour équipements frigorifiques")</f>
        <v xml:space="preserve">   Compresseurs des types utilisés pour équipements frigorifiques</v>
      </c>
      <c r="C7911">
        <v>38468</v>
      </c>
      <c r="D7911">
        <v>49</v>
      </c>
    </row>
    <row r="7912" spans="1:4" x14ac:dyDescent="0.25">
      <c r="A7912" t="str">
        <f>T("   841440")</f>
        <v xml:space="preserve">   841440</v>
      </c>
      <c r="B7912" t="str">
        <f>T("   Compresseurs d'air montés sur châssis à roues et remorquables")</f>
        <v xml:space="preserve">   Compresseurs d'air montés sur châssis à roues et remorquables</v>
      </c>
      <c r="C7912">
        <v>1660235</v>
      </c>
      <c r="D7912">
        <v>6500</v>
      </c>
    </row>
    <row r="7913" spans="1:4" x14ac:dyDescent="0.25">
      <c r="A7913" t="str">
        <f>T("   841480")</f>
        <v xml:space="preserve">   841480</v>
      </c>
      <c r="B7913" t="s">
        <v>398</v>
      </c>
      <c r="C7913">
        <v>1815749</v>
      </c>
      <c r="D7913">
        <v>1400.35</v>
      </c>
    </row>
    <row r="7914" spans="1:4" x14ac:dyDescent="0.25">
      <c r="A7914" t="str">
        <f>T("   841510")</f>
        <v xml:space="preserve">   841510</v>
      </c>
      <c r="B7914" t="s">
        <v>399</v>
      </c>
      <c r="C7914">
        <v>24352997</v>
      </c>
      <c r="D7914">
        <v>21478</v>
      </c>
    </row>
    <row r="7915" spans="1:4" x14ac:dyDescent="0.25">
      <c r="A7915" t="str">
        <f>T("   841590")</f>
        <v xml:space="preserve">   841590</v>
      </c>
      <c r="B7915" t="str">
        <f>T("   Parties de machines et appareils pour le conditionnement de l'air comprenant un ventilateur à moteur et des dispositifs propres à modifier la température et l'humidité de l'air, n.d.a.")</f>
        <v xml:space="preserve">   Parties de machines et appareils pour le conditionnement de l'air comprenant un ventilateur à moteur et des dispositifs propres à modifier la température et l'humidité de l'air, n.d.a.</v>
      </c>
      <c r="C7915">
        <v>116482</v>
      </c>
      <c r="D7915">
        <v>119</v>
      </c>
    </row>
    <row r="7916" spans="1:4" x14ac:dyDescent="0.25">
      <c r="A7916" t="str">
        <f>T("   841810")</f>
        <v xml:space="preserve">   841810</v>
      </c>
      <c r="B7916" t="str">
        <f>T("   Réfrigérateurs et congélateurs-conservateurs combinés, avec portes extérieures séparées")</f>
        <v xml:space="preserve">   Réfrigérateurs et congélateurs-conservateurs combinés, avec portes extérieures séparées</v>
      </c>
      <c r="C7916">
        <v>14159360</v>
      </c>
      <c r="D7916">
        <v>4599</v>
      </c>
    </row>
    <row r="7917" spans="1:4" x14ac:dyDescent="0.25">
      <c r="A7917" t="str">
        <f>T("   841821")</f>
        <v xml:space="preserve">   841821</v>
      </c>
      <c r="B7917" t="str">
        <f>T("   Réfrigérateurs ménagers à compression")</f>
        <v xml:space="preserve">   Réfrigérateurs ménagers à compression</v>
      </c>
      <c r="C7917">
        <v>56955469</v>
      </c>
      <c r="D7917">
        <v>65468</v>
      </c>
    </row>
    <row r="7918" spans="1:4" x14ac:dyDescent="0.25">
      <c r="A7918" t="str">
        <f>T("   841822")</f>
        <v xml:space="preserve">   841822</v>
      </c>
      <c r="B7918" t="str">
        <f>T("   Réfrigérateurs ménagers à absorption, électriques")</f>
        <v xml:space="preserve">   Réfrigérateurs ménagers à absorption, électriques</v>
      </c>
      <c r="C7918">
        <v>191740</v>
      </c>
      <c r="D7918">
        <v>438</v>
      </c>
    </row>
    <row r="7919" spans="1:4" x14ac:dyDescent="0.25">
      <c r="A7919" t="str">
        <f>T("   841829")</f>
        <v xml:space="preserve">   841829</v>
      </c>
      <c r="B7919" t="str">
        <f>T("   Réfrigérateurs ménagers à absorption, non-électriques")</f>
        <v xml:space="preserve">   Réfrigérateurs ménagers à absorption, non-électriques</v>
      </c>
      <c r="C7919">
        <v>3519589</v>
      </c>
      <c r="D7919">
        <v>2616</v>
      </c>
    </row>
    <row r="7920" spans="1:4" x14ac:dyDescent="0.25">
      <c r="A7920" t="str">
        <f>T("   841830")</f>
        <v xml:space="preserve">   841830</v>
      </c>
      <c r="B7920" t="str">
        <f>T("   Meubles congélateurs-conservateurs du type coffre, capacité &lt;= 800 l")</f>
        <v xml:space="preserve">   Meubles congélateurs-conservateurs du type coffre, capacité &lt;= 800 l</v>
      </c>
      <c r="C7920">
        <v>17686203</v>
      </c>
      <c r="D7920">
        <v>12394</v>
      </c>
    </row>
    <row r="7921" spans="1:4" x14ac:dyDescent="0.25">
      <c r="A7921" t="str">
        <f>T("   841840")</f>
        <v xml:space="preserve">   841840</v>
      </c>
      <c r="B7921" t="str">
        <f>T("   Meubles congélateurs-conservateurs du type armoire, capacité &lt;= 900 l")</f>
        <v xml:space="preserve">   Meubles congélateurs-conservateurs du type armoire, capacité &lt;= 900 l</v>
      </c>
      <c r="C7921">
        <v>1237518</v>
      </c>
      <c r="D7921">
        <v>1254</v>
      </c>
    </row>
    <row r="7922" spans="1:4" x14ac:dyDescent="0.25">
      <c r="A7922" t="str">
        <f>T("   841850")</f>
        <v xml:space="preserve">   841850</v>
      </c>
      <c r="B7922" t="s">
        <v>404</v>
      </c>
      <c r="C7922">
        <v>12066990</v>
      </c>
      <c r="D7922">
        <v>14408</v>
      </c>
    </row>
    <row r="7923" spans="1:4" x14ac:dyDescent="0.25">
      <c r="A7923" t="str">
        <f>T("   841899")</f>
        <v xml:space="preserve">   841899</v>
      </c>
      <c r="B7923" t="str">
        <f>T("   Parties de réfrigérateurs et de congélateurs-conservateurs du type armoire et du type coffre et d'autres matériel, machines et appareils pour la production du froid, parties de pompes à chaleur, n.d.a.")</f>
        <v xml:space="preserve">   Parties de réfrigérateurs et de congélateurs-conservateurs du type armoire et du type coffre et d'autres matériel, machines et appareils pour la production du froid, parties de pompes à chaleur, n.d.a.</v>
      </c>
      <c r="C7923">
        <v>306973</v>
      </c>
      <c r="D7923">
        <v>1301</v>
      </c>
    </row>
    <row r="7924" spans="1:4" x14ac:dyDescent="0.25">
      <c r="A7924" t="str">
        <f>T("   841939")</f>
        <v xml:space="preserve">   841939</v>
      </c>
      <c r="B7924" t="str">
        <f>T("   Séchoirs (sauf pour produits agricoles, pâtes à papier, papier ou carton, pour fils, tissus ou autres matières textiles, pour bouteilles ou autres récipients, sèche-cheveux, sèche-mains et sauf appareils ménagers)")</f>
        <v xml:space="preserve">   Séchoirs (sauf pour produits agricoles, pâtes à papier, papier ou carton, pour fils, tissus ou autres matières textiles, pour bouteilles ou autres récipients, sèche-cheveux, sèche-mains et sauf appareils ménagers)</v>
      </c>
      <c r="C7924">
        <v>604795</v>
      </c>
      <c r="D7924">
        <v>142</v>
      </c>
    </row>
    <row r="7925" spans="1:4" x14ac:dyDescent="0.25">
      <c r="A7925" t="str">
        <f>T("   841981")</f>
        <v xml:space="preserve">   841981</v>
      </c>
      <c r="B7925" t="str">
        <f>T("   Appareils et dispositifs pour la préparation de boissons chaudes ou la cuisson ou le chauffage des aliments (sauf appareils domestiques)")</f>
        <v xml:space="preserve">   Appareils et dispositifs pour la préparation de boissons chaudes ou la cuisson ou le chauffage des aliments (sauf appareils domestiques)</v>
      </c>
      <c r="C7925">
        <v>144737</v>
      </c>
      <c r="D7925">
        <v>58</v>
      </c>
    </row>
    <row r="7926" spans="1:4" x14ac:dyDescent="0.25">
      <c r="A7926" t="str">
        <f>T("   842123")</f>
        <v xml:space="preserve">   842123</v>
      </c>
      <c r="B7926" t="str">
        <f>T("   Appareils pour la filtration des huiles minérales et carburants pour les moteurs à allumage par étincelles ou par compression")</f>
        <v xml:space="preserve">   Appareils pour la filtration des huiles minérales et carburants pour les moteurs à allumage par étincelles ou par compression</v>
      </c>
      <c r="C7926">
        <v>685385</v>
      </c>
      <c r="D7926">
        <v>49</v>
      </c>
    </row>
    <row r="7927" spans="1:4" x14ac:dyDescent="0.25">
      <c r="A7927" t="str">
        <f>T("   842129")</f>
        <v xml:space="preserve">   842129</v>
      </c>
      <c r="B7927" t="str">
        <f>T("   Appareils pour la filtration ou l'épuration des liquides (à l'excl. de l'eau ou des boissons, des huiles minérales et carburants pour les moteurs à allumage par étincelles ou par compression ainsi que les reins artificiels)")</f>
        <v xml:space="preserve">   Appareils pour la filtration ou l'épuration des liquides (à l'excl. de l'eau ou des boissons, des huiles minérales et carburants pour les moteurs à allumage par étincelles ou par compression ainsi que les reins artificiels)</v>
      </c>
      <c r="C7927">
        <v>2996</v>
      </c>
      <c r="D7927">
        <v>3</v>
      </c>
    </row>
    <row r="7928" spans="1:4" x14ac:dyDescent="0.25">
      <c r="A7928" t="str">
        <f>T("   842131")</f>
        <v xml:space="preserve">   842131</v>
      </c>
      <c r="B7928" t="str">
        <f>T("   Filtres d'entrée d'air pour moteurs à allumage par étincelles ou par compression")</f>
        <v xml:space="preserve">   Filtres d'entrée d'air pour moteurs à allumage par étincelles ou par compression</v>
      </c>
      <c r="C7928">
        <v>2860219</v>
      </c>
      <c r="D7928">
        <v>2253</v>
      </c>
    </row>
    <row r="7929" spans="1:4" x14ac:dyDescent="0.25">
      <c r="A7929" t="str">
        <f>T("   842230")</f>
        <v xml:space="preserve">   842230</v>
      </c>
      <c r="B7929" t="str">
        <f>T("   Machines et appareils à remplir, fermer, boucher ou étiqueter les bouteilles, boîtes, sacs ou autres contenants; machines et appareils à capsuler les bouteilles, pots, tubes et contenants analogues; appareils à gazéifier les boissons")</f>
        <v xml:space="preserve">   Machines et appareils à remplir, fermer, boucher ou étiqueter les bouteilles, boîtes, sacs ou autres contenants; machines et appareils à capsuler les bouteilles, pots, tubes et contenants analogues; appareils à gazéifier les boissons</v>
      </c>
      <c r="C7929">
        <v>187934</v>
      </c>
      <c r="D7929">
        <v>22480</v>
      </c>
    </row>
    <row r="7930" spans="1:4" x14ac:dyDescent="0.25">
      <c r="A7930" t="str">
        <f>T("   842420")</f>
        <v xml:space="preserve">   842420</v>
      </c>
      <c r="B7930" t="s">
        <v>408</v>
      </c>
      <c r="C7930">
        <v>16249</v>
      </c>
      <c r="D7930">
        <v>1724</v>
      </c>
    </row>
    <row r="7931" spans="1:4" x14ac:dyDescent="0.25">
      <c r="A7931" t="str">
        <f>T("   842720")</f>
        <v xml:space="preserve">   842720</v>
      </c>
      <c r="B7931" t="str">
        <f>T("   Chariots de manutention autopropulsés, autres qu'à moteur électrique, avec dispositif de levage")</f>
        <v xml:space="preserve">   Chariots de manutention autopropulsés, autres qu'à moteur électrique, avec dispositif de levage</v>
      </c>
      <c r="C7931">
        <v>6042089</v>
      </c>
      <c r="D7931">
        <v>15974</v>
      </c>
    </row>
    <row r="7932" spans="1:4" x14ac:dyDescent="0.25">
      <c r="A7932" t="str">
        <f>T("   842810")</f>
        <v xml:space="preserve">   842810</v>
      </c>
      <c r="B7932" t="str">
        <f>T("   Ascenseurs et monte-charge")</f>
        <v xml:space="preserve">   Ascenseurs et monte-charge</v>
      </c>
      <c r="C7932">
        <v>11045000</v>
      </c>
      <c r="D7932">
        <v>7900</v>
      </c>
    </row>
    <row r="7933" spans="1:4" x14ac:dyDescent="0.25">
      <c r="A7933" t="str">
        <f>T("   842839")</f>
        <v xml:space="preserve">   842839</v>
      </c>
      <c r="B7933" t="str">
        <f>T("   Appareils élévateurs, transporteurs ou convoyeurs pour marchandises, à action continue (autres que conçus pour mines au fond ou pour autres travaux souterrains, autres qu'à benne, à bande ou à courroie et autres que pneumatiques)")</f>
        <v xml:space="preserve">   Appareils élévateurs, transporteurs ou convoyeurs pour marchandises, à action continue (autres que conçus pour mines au fond ou pour autres travaux souterrains, autres qu'à benne, à bande ou à courroie et autres que pneumatiques)</v>
      </c>
      <c r="C7933">
        <v>3866041</v>
      </c>
      <c r="D7933">
        <v>2150</v>
      </c>
    </row>
    <row r="7934" spans="1:4" x14ac:dyDescent="0.25">
      <c r="A7934" t="str">
        <f>T("   842940")</f>
        <v xml:space="preserve">   842940</v>
      </c>
      <c r="B7934" t="str">
        <f>T("   Rouleaux compresseurs et autres compacteuses, autopropulsés")</f>
        <v xml:space="preserve">   Rouleaux compresseurs et autres compacteuses, autopropulsés</v>
      </c>
      <c r="C7934">
        <v>26406433</v>
      </c>
      <c r="D7934">
        <v>5496</v>
      </c>
    </row>
    <row r="7935" spans="1:4" x14ac:dyDescent="0.25">
      <c r="A7935" t="str">
        <f>T("   843120")</f>
        <v xml:space="preserve">   843120</v>
      </c>
      <c r="B7935" t="str">
        <f>T("   Parties de chariots-gerbeurs et autres chariots de manutention munis d'un dispositif de levage, n.d.a.")</f>
        <v xml:space="preserve">   Parties de chariots-gerbeurs et autres chariots de manutention munis d'un dispositif de levage, n.d.a.</v>
      </c>
      <c r="C7935">
        <v>224030</v>
      </c>
      <c r="D7935">
        <v>2000</v>
      </c>
    </row>
    <row r="7936" spans="1:4" x14ac:dyDescent="0.25">
      <c r="A7936" t="str">
        <f>T("   843131")</f>
        <v xml:space="preserve">   843131</v>
      </c>
      <c r="B7936" t="str">
        <f>T("   Parties d'ascenseurs, monte-charge ou escaliers mécaniques, n.d.a.")</f>
        <v xml:space="preserve">   Parties d'ascenseurs, monte-charge ou escaliers mécaniques, n.d.a.</v>
      </c>
      <c r="C7936">
        <v>1313419</v>
      </c>
      <c r="D7936">
        <v>2513</v>
      </c>
    </row>
    <row r="7937" spans="1:4" x14ac:dyDescent="0.25">
      <c r="A7937" t="str">
        <f>T("   843142")</f>
        <v xml:space="preserve">   843142</v>
      </c>
      <c r="B7937" t="str">
        <f>T("   Lames de bouteurs 'bulldozers' ou de bouteurs biais 'angledozers', n.d.a.")</f>
        <v xml:space="preserve">   Lames de bouteurs 'bulldozers' ou de bouteurs biais 'angledozers', n.d.a.</v>
      </c>
      <c r="C7937">
        <v>15848260</v>
      </c>
      <c r="D7937">
        <v>1942.36</v>
      </c>
    </row>
    <row r="7938" spans="1:4" x14ac:dyDescent="0.25">
      <c r="A7938" t="str">
        <f>T("   843149")</f>
        <v xml:space="preserve">   843149</v>
      </c>
      <c r="B7938" t="str">
        <f>T("   Parties de machines et appareils du n° 8426, 8429 ou 8430, n.d.a.")</f>
        <v xml:space="preserve">   Parties de machines et appareils du n° 8426, 8429 ou 8430, n.d.a.</v>
      </c>
      <c r="C7938">
        <v>3476588</v>
      </c>
      <c r="D7938">
        <v>13025</v>
      </c>
    </row>
    <row r="7939" spans="1:4" x14ac:dyDescent="0.25">
      <c r="A7939" t="str">
        <f>T("   845011")</f>
        <v xml:space="preserve">   845011</v>
      </c>
      <c r="B7939" t="str">
        <f>T("   Machines à laver le linge entièrement automatiques, d'une capacité unitaire exprimée en poids de linge sec &lt;= 6 kg")</f>
        <v xml:space="preserve">   Machines à laver le linge entièrement automatiques, d'une capacité unitaire exprimée en poids de linge sec &lt;= 6 kg</v>
      </c>
      <c r="C7939">
        <v>718276</v>
      </c>
      <c r="D7939">
        <v>548</v>
      </c>
    </row>
    <row r="7940" spans="1:4" x14ac:dyDescent="0.25">
      <c r="A7940" t="str">
        <f>T("   845012")</f>
        <v xml:space="preserve">   845012</v>
      </c>
      <c r="B7940" t="str">
        <f>T("   Machines à laver le linge, avec essoreuse centrifuge incorporée (à l'excl. des machines entièrement automatiques)")</f>
        <v xml:space="preserve">   Machines à laver le linge, avec essoreuse centrifuge incorporée (à l'excl. des machines entièrement automatiques)</v>
      </c>
      <c r="C7940">
        <v>456354</v>
      </c>
      <c r="D7940">
        <v>165</v>
      </c>
    </row>
    <row r="7941" spans="1:4" x14ac:dyDescent="0.25">
      <c r="A7941" t="str">
        <f>T("   845020")</f>
        <v xml:space="preserve">   845020</v>
      </c>
      <c r="B7941" t="str">
        <f>T("   Machines à laver le linge, capacité unitaire en poids de linge sec &gt; 10 kg")</f>
        <v xml:space="preserve">   Machines à laver le linge, capacité unitaire en poids de linge sec &gt; 10 kg</v>
      </c>
      <c r="C7941">
        <v>229586</v>
      </c>
      <c r="D7941">
        <v>520</v>
      </c>
    </row>
    <row r="7942" spans="1:4" x14ac:dyDescent="0.25">
      <c r="A7942" t="str">
        <f>T("   845129")</f>
        <v xml:space="preserve">   845129</v>
      </c>
      <c r="B7942" t="str">
        <f>T("   Machines et appareils à sécher les fils, les tissus ou autres ouvrages en matières textiles ( à l'excl. des machines à sécher d'une capacité unitaire en poids de linge sec &lt;= 10 kg et sauf essoreuses centrifuges)")</f>
        <v xml:space="preserve">   Machines et appareils à sécher les fils, les tissus ou autres ouvrages en matières textiles ( à l'excl. des machines à sécher d'une capacité unitaire en poids de linge sec &lt;= 10 kg et sauf essoreuses centrifuges)</v>
      </c>
      <c r="C7942">
        <v>1500181</v>
      </c>
      <c r="D7942">
        <v>2500</v>
      </c>
    </row>
    <row r="7943" spans="1:4" x14ac:dyDescent="0.25">
      <c r="A7943" t="str">
        <f>T("   845710")</f>
        <v xml:space="preserve">   845710</v>
      </c>
      <c r="B7943" t="str">
        <f>T("   Centres d'usinage pour le travail des métaux")</f>
        <v xml:space="preserve">   Centres d'usinage pour le travail des métaux</v>
      </c>
      <c r="C7943">
        <v>1049805</v>
      </c>
      <c r="D7943">
        <v>1887</v>
      </c>
    </row>
    <row r="7944" spans="1:4" x14ac:dyDescent="0.25">
      <c r="A7944" t="str">
        <f>T("   845899")</f>
        <v xml:space="preserve">   845899</v>
      </c>
      <c r="B7944" t="s">
        <v>428</v>
      </c>
      <c r="C7944">
        <v>12018500</v>
      </c>
      <c r="D7944">
        <v>9000</v>
      </c>
    </row>
    <row r="7945" spans="1:4" x14ac:dyDescent="0.25">
      <c r="A7945" t="str">
        <f>T("   846721")</f>
        <v xml:space="preserve">   846721</v>
      </c>
      <c r="B7945" t="str">
        <f>T("   Perceuses à moteur électrique incorporé, pour emploi à la main, y.c. les perforatrices rotatives")</f>
        <v xml:space="preserve">   Perceuses à moteur électrique incorporé, pour emploi à la main, y.c. les perforatrices rotatives</v>
      </c>
      <c r="C7945">
        <v>945825</v>
      </c>
      <c r="D7945">
        <v>272</v>
      </c>
    </row>
    <row r="7946" spans="1:4" x14ac:dyDescent="0.25">
      <c r="A7946" t="str">
        <f>T("   846729")</f>
        <v xml:space="preserve">   846729</v>
      </c>
      <c r="B7946" t="str">
        <f>T("   Outils électromécaniques à moteur électrique incorporé, pour emploi à la main (autres que scies et perceuses)")</f>
        <v xml:space="preserve">   Outils électromécaniques à moteur électrique incorporé, pour emploi à la main (autres que scies et perceuses)</v>
      </c>
      <c r="C7946">
        <v>13528</v>
      </c>
      <c r="D7946">
        <v>10</v>
      </c>
    </row>
    <row r="7947" spans="1:4" x14ac:dyDescent="0.25">
      <c r="A7947" t="str">
        <f>T("   847130")</f>
        <v xml:space="preserve">   847130</v>
      </c>
      <c r="B7947" t="str">
        <f>T("   Machines automatiques de traitement de l'information numériques, portatives, d'un poids &lt;= 10 kg, comportant au moins une unité centrale de traitement, un clavier et un écran (à l'excl. des unités périphériques)")</f>
        <v xml:space="preserve">   Machines automatiques de traitement de l'information numériques, portatives, d'un poids &lt;= 10 kg, comportant au moins une unité centrale de traitement, un clavier et un écran (à l'excl. des unités périphériques)</v>
      </c>
      <c r="C7947">
        <v>62686464</v>
      </c>
      <c r="D7947">
        <v>2457</v>
      </c>
    </row>
    <row r="7948" spans="1:4" x14ac:dyDescent="0.25">
      <c r="A7948" t="str">
        <f>T("   847150")</f>
        <v xml:space="preserve">   847150</v>
      </c>
      <c r="B7948" t="s">
        <v>438</v>
      </c>
      <c r="C7948">
        <v>29791958</v>
      </c>
      <c r="D7948">
        <v>549</v>
      </c>
    </row>
    <row r="7949" spans="1:4" x14ac:dyDescent="0.25">
      <c r="A7949" t="str">
        <f>T("   847160")</f>
        <v xml:space="preserve">   847160</v>
      </c>
      <c r="B7949" t="str">
        <f>T("   UNITÉS D'ENTRÉE OU DE SORTIE POUR MACHINES AUTOMATIQUES DE TRAITEMENT DE L'INFORMATION, POUVANT COMPORTER, SOUS LA MÊME ENVELOPPE, DES UNITÉS DE MÉMOIRE")</f>
        <v xml:space="preserve">   UNITÉS D'ENTRÉE OU DE SORTIE POUR MACHINES AUTOMATIQUES DE TRAITEMENT DE L'INFORMATION, POUVANT COMPORTER, SOUS LA MÊME ENVELOPPE, DES UNITÉS DE MÉMOIRE</v>
      </c>
      <c r="C7949">
        <v>16150260</v>
      </c>
      <c r="D7949">
        <v>6451</v>
      </c>
    </row>
    <row r="7950" spans="1:4" x14ac:dyDescent="0.25">
      <c r="A7950" t="str">
        <f>T("   847180")</f>
        <v xml:space="preserve">   847180</v>
      </c>
      <c r="B7950"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7950">
        <v>3046979</v>
      </c>
      <c r="D7950">
        <v>10</v>
      </c>
    </row>
    <row r="7951" spans="1:4" x14ac:dyDescent="0.25">
      <c r="A7951" t="str">
        <f>T("   847190")</f>
        <v xml:space="preserve">   847190</v>
      </c>
      <c r="B7951"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7951">
        <v>7377197</v>
      </c>
      <c r="D7951">
        <v>856</v>
      </c>
    </row>
    <row r="7952" spans="1:4" x14ac:dyDescent="0.25">
      <c r="A7952" t="str">
        <f>T("   847330")</f>
        <v xml:space="preserve">   847330</v>
      </c>
      <c r="B7952" t="str">
        <f>T("   Parties et accessoires pour machines automatiques de traitement de l'information ou pour autres machines du n° 8471, n.d.a.")</f>
        <v xml:space="preserve">   Parties et accessoires pour machines automatiques de traitement de l'information ou pour autres machines du n° 8471, n.d.a.</v>
      </c>
      <c r="C7952">
        <v>16572010</v>
      </c>
      <c r="D7952">
        <v>5801</v>
      </c>
    </row>
    <row r="7953" spans="1:4" x14ac:dyDescent="0.25">
      <c r="A7953" t="str">
        <f>T("   847431")</f>
        <v xml:space="preserve">   847431</v>
      </c>
      <c r="B7953" t="str">
        <f>T("   Bétonnières et appareils à gâcher le ciment (sauf montés sur wagons de chemins de fer ou sur châssis de véhicules automobiles)")</f>
        <v xml:space="preserve">   Bétonnières et appareils à gâcher le ciment (sauf montés sur wagons de chemins de fer ou sur châssis de véhicules automobiles)</v>
      </c>
      <c r="C7953">
        <v>121990206</v>
      </c>
      <c r="D7953">
        <v>151715</v>
      </c>
    </row>
    <row r="7954" spans="1:4" x14ac:dyDescent="0.25">
      <c r="A7954" t="str">
        <f>T("   847480")</f>
        <v xml:space="preserve">   847480</v>
      </c>
      <c r="B7954" t="s">
        <v>440</v>
      </c>
      <c r="C7954">
        <v>5327682</v>
      </c>
      <c r="D7954">
        <v>12190</v>
      </c>
    </row>
    <row r="7955" spans="1:4" x14ac:dyDescent="0.25">
      <c r="A7955" t="str">
        <f>T("   847490")</f>
        <v xml:space="preserve">   847490</v>
      </c>
      <c r="B7955" t="str">
        <f>T("   Parties des machines et appareils pour le travail des matières minérales du n° 8474, n.d.a.")</f>
        <v xml:space="preserve">   Parties des machines et appareils pour le travail des matières minérales du n° 8474, n.d.a.</v>
      </c>
      <c r="C7955">
        <v>1792333</v>
      </c>
      <c r="D7955">
        <v>1725</v>
      </c>
    </row>
    <row r="7956" spans="1:4" x14ac:dyDescent="0.25">
      <c r="A7956" t="str">
        <f>T("   847590")</f>
        <v xml:space="preserve">   847590</v>
      </c>
      <c r="B7956" t="s">
        <v>441</v>
      </c>
      <c r="C7956">
        <v>34332144</v>
      </c>
      <c r="D7956">
        <v>117</v>
      </c>
    </row>
    <row r="7957" spans="1:4" x14ac:dyDescent="0.25">
      <c r="A7957" t="str">
        <f>T("   847910")</f>
        <v xml:space="preserve">   847910</v>
      </c>
      <c r="B7957" t="str">
        <f>T("   Machines et appareils pour les travaux publics, le bâtiment ou les travaux analogues, n.d.a.")</f>
        <v xml:space="preserve">   Machines et appareils pour les travaux publics, le bâtiment ou les travaux analogues, n.d.a.</v>
      </c>
      <c r="C7957">
        <v>8828126</v>
      </c>
      <c r="D7957">
        <v>880</v>
      </c>
    </row>
    <row r="7958" spans="1:4" x14ac:dyDescent="0.25">
      <c r="A7958" t="str">
        <f>T("   847982")</f>
        <v xml:space="preserve">   847982</v>
      </c>
      <c r="B7958" t="str">
        <f>T("   Machines et appareils à mélanger, malaxer, concasser, broyer, cribler, tamiser, homogénéiser, émulsionner ou brasser, n.d.a. (à l'excl. des robots industriels)")</f>
        <v xml:space="preserve">   Machines et appareils à mélanger, malaxer, concasser, broyer, cribler, tamiser, homogénéiser, émulsionner ou brasser, n.d.a. (à l'excl. des robots industriels)</v>
      </c>
      <c r="C7958">
        <v>268155</v>
      </c>
      <c r="D7958">
        <v>48</v>
      </c>
    </row>
    <row r="7959" spans="1:4" x14ac:dyDescent="0.25">
      <c r="A7959" t="str">
        <f>T("   847990")</f>
        <v xml:space="preserve">   847990</v>
      </c>
      <c r="B7959" t="str">
        <f>T("   Parties de machines et appareils, y.c. les appareils mécaniques, n.d.a.")</f>
        <v xml:space="preserve">   Parties de machines et appareils, y.c. les appareils mécaniques, n.d.a.</v>
      </c>
      <c r="C7959">
        <v>10305</v>
      </c>
      <c r="D7959">
        <v>120</v>
      </c>
    </row>
    <row r="7960" spans="1:4" x14ac:dyDescent="0.25">
      <c r="A7960" t="str">
        <f>T("   848060")</f>
        <v xml:space="preserve">   848060</v>
      </c>
      <c r="B7960" t="str">
        <f>T("   Moules pour les matières minérales (autres qu'en graphite ou autres formes de carbone, autres qu'en produits céramiques ou en verre)")</f>
        <v xml:space="preserve">   Moules pour les matières minérales (autres qu'en graphite ou autres formes de carbone, autres qu'en produits céramiques ou en verre)</v>
      </c>
      <c r="C7960">
        <v>1394769</v>
      </c>
      <c r="D7960">
        <v>6300</v>
      </c>
    </row>
    <row r="7961" spans="1:4" x14ac:dyDescent="0.25">
      <c r="A7961" t="str">
        <f>T("   848280")</f>
        <v xml:space="preserve">   848280</v>
      </c>
      <c r="B7961" t="s">
        <v>447</v>
      </c>
      <c r="C7961">
        <v>2375218</v>
      </c>
      <c r="D7961">
        <v>4933.95</v>
      </c>
    </row>
    <row r="7962" spans="1:4" x14ac:dyDescent="0.25">
      <c r="A7962" t="str">
        <f>T("   850120")</f>
        <v xml:space="preserve">   850120</v>
      </c>
      <c r="B7962" t="str">
        <f>T("   Moteurs universels, puissance &gt; 37,5 W")</f>
        <v xml:space="preserve">   Moteurs universels, puissance &gt; 37,5 W</v>
      </c>
      <c r="C7962">
        <v>297415</v>
      </c>
      <c r="D7962">
        <v>960</v>
      </c>
    </row>
    <row r="7963" spans="1:4" x14ac:dyDescent="0.25">
      <c r="A7963" t="str">
        <f>T("   850133")</f>
        <v xml:space="preserve">   850133</v>
      </c>
      <c r="B7963" t="str">
        <f>T("   Moteurs et génératrices à courant continu, puissance &gt; 75 kW mais &lt;= 375 kW")</f>
        <v xml:space="preserve">   Moteurs et génératrices à courant continu, puissance &gt; 75 kW mais &lt;= 375 kW</v>
      </c>
      <c r="C7963">
        <v>5619129</v>
      </c>
      <c r="D7963">
        <v>1085</v>
      </c>
    </row>
    <row r="7964" spans="1:4" x14ac:dyDescent="0.25">
      <c r="A7964" t="str">
        <f>T("   850211")</f>
        <v xml:space="preserve">   850211</v>
      </c>
      <c r="B7964" t="s">
        <v>449</v>
      </c>
      <c r="C7964">
        <v>202556942</v>
      </c>
      <c r="D7964">
        <v>76610</v>
      </c>
    </row>
    <row r="7965" spans="1:4" x14ac:dyDescent="0.25">
      <c r="A7965" t="str">
        <f>T("   850212")</f>
        <v xml:space="preserve">   850212</v>
      </c>
      <c r="B7965"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7965">
        <v>37562470</v>
      </c>
      <c r="D7965">
        <v>11271</v>
      </c>
    </row>
    <row r="7966" spans="1:4" x14ac:dyDescent="0.25">
      <c r="A7966" t="str">
        <f>T("   850213")</f>
        <v xml:space="preserve">   850213</v>
      </c>
      <c r="B7966" t="s">
        <v>450</v>
      </c>
      <c r="C7966">
        <v>93832721</v>
      </c>
      <c r="D7966">
        <v>12568</v>
      </c>
    </row>
    <row r="7967" spans="1:4" x14ac:dyDescent="0.25">
      <c r="A7967" t="str">
        <f>T("   850239")</f>
        <v xml:space="preserve">   850239</v>
      </c>
      <c r="B7967" t="str">
        <f>T("   Groupes électrogènes (autres qu'à énergie éolienne et à moteurs à piston)")</f>
        <v xml:space="preserve">   Groupes électrogènes (autres qu'à énergie éolienne et à moteurs à piston)</v>
      </c>
      <c r="C7967">
        <v>1803890</v>
      </c>
      <c r="D7967">
        <v>500</v>
      </c>
    </row>
    <row r="7968" spans="1:4" x14ac:dyDescent="0.25">
      <c r="A7968" t="str">
        <f>T("   850421")</f>
        <v xml:space="preserve">   850421</v>
      </c>
      <c r="B7968" t="str">
        <f>T("   Transformateurs à diélectrique liquide, puissance &lt;= 650 kVA")</f>
        <v xml:space="preserve">   Transformateurs à diélectrique liquide, puissance &lt;= 650 kVA</v>
      </c>
      <c r="C7968">
        <v>595832</v>
      </c>
      <c r="D7968">
        <v>1775</v>
      </c>
    </row>
    <row r="7969" spans="1:4" x14ac:dyDescent="0.25">
      <c r="A7969" t="str">
        <f>T("   850440")</f>
        <v xml:space="preserve">   850440</v>
      </c>
      <c r="B7969" t="str">
        <f>T("   CONVERTISSEURS STATIQUES")</f>
        <v xml:space="preserve">   CONVERTISSEURS STATIQUES</v>
      </c>
      <c r="C7969">
        <v>1306709</v>
      </c>
      <c r="D7969">
        <v>949</v>
      </c>
    </row>
    <row r="7970" spans="1:4" x14ac:dyDescent="0.25">
      <c r="A7970" t="str">
        <f>T("   850910")</f>
        <v xml:space="preserve">   850910</v>
      </c>
      <c r="B7970" t="str">
        <f>T("   Aspirateurs de poussières, y.c. les aspirateurs de matières sèches et de matières liquides, à moteur électrique incorporé, à usage domestique")</f>
        <v xml:space="preserve">   Aspirateurs de poussières, y.c. les aspirateurs de matières sèches et de matières liquides, à moteur électrique incorporé, à usage domestique</v>
      </c>
      <c r="C7970">
        <v>1006303</v>
      </c>
      <c r="D7970">
        <v>1000</v>
      </c>
    </row>
    <row r="7971" spans="1:4" x14ac:dyDescent="0.25">
      <c r="A7971" t="str">
        <f>T("   850940")</f>
        <v xml:space="preserve">   850940</v>
      </c>
      <c r="B7971" t="str">
        <f>T("   Broyeurs et mélangeurs pour aliments; presse-fruits et presse-légumes à moteur électrique incorporé, à usage domestique")</f>
        <v xml:space="preserve">   Broyeurs et mélangeurs pour aliments; presse-fruits et presse-légumes à moteur électrique incorporé, à usage domestique</v>
      </c>
      <c r="C7971">
        <v>3242960</v>
      </c>
      <c r="D7971">
        <v>1381</v>
      </c>
    </row>
    <row r="7972" spans="1:4" x14ac:dyDescent="0.25">
      <c r="A7972" t="str">
        <f>T("   851020")</f>
        <v xml:space="preserve">   851020</v>
      </c>
      <c r="B7972" t="str">
        <f>T("   Tondeuses à moteur électrique incorporé")</f>
        <v xml:space="preserve">   Tondeuses à moteur électrique incorporé</v>
      </c>
      <c r="C7972">
        <v>296616</v>
      </c>
      <c r="D7972">
        <v>505</v>
      </c>
    </row>
    <row r="7973" spans="1:4" x14ac:dyDescent="0.25">
      <c r="A7973" t="str">
        <f>T("   851640")</f>
        <v xml:space="preserve">   851640</v>
      </c>
      <c r="B7973" t="str">
        <f>T("   Fers à repasser électriques")</f>
        <v xml:space="preserve">   Fers à repasser électriques</v>
      </c>
      <c r="C7973">
        <v>613842</v>
      </c>
      <c r="D7973">
        <v>760</v>
      </c>
    </row>
    <row r="7974" spans="1:4" x14ac:dyDescent="0.25">
      <c r="A7974" t="str">
        <f>T("   851650")</f>
        <v xml:space="preserve">   851650</v>
      </c>
      <c r="B7974" t="str">
        <f>T("   Fours à micro-ondes")</f>
        <v xml:space="preserve">   Fours à micro-ondes</v>
      </c>
      <c r="C7974">
        <v>5399842</v>
      </c>
      <c r="D7974">
        <v>4207</v>
      </c>
    </row>
    <row r="7975" spans="1:4" x14ac:dyDescent="0.25">
      <c r="A7975" t="str">
        <f>T("   851660")</f>
        <v xml:space="preserve">   851660</v>
      </c>
      <c r="B7975" t="str">
        <f>T("   Fours, cuisinières, réchauds, tables de cuisson, grils et rôtissoires électriques, pour usages domestiques (sauf fours destinés au chauffage des locaux et fours à micro-ondes)")</f>
        <v xml:space="preserve">   Fours, cuisinières, réchauds, tables de cuisson, grils et rôtissoires électriques, pour usages domestiques (sauf fours destinés au chauffage des locaux et fours à micro-ondes)</v>
      </c>
      <c r="C7975">
        <v>810469</v>
      </c>
      <c r="D7975">
        <v>738</v>
      </c>
    </row>
    <row r="7976" spans="1:4" x14ac:dyDescent="0.25">
      <c r="A7976" t="str">
        <f>T("   851671")</f>
        <v xml:space="preserve">   851671</v>
      </c>
      <c r="B7976" t="str">
        <f>T("   Appareils électriques pour la préparation du café ou du thé, pour usages domestiques")</f>
        <v xml:space="preserve">   Appareils électriques pour la préparation du café ou du thé, pour usages domestiques</v>
      </c>
      <c r="C7976">
        <v>196534</v>
      </c>
      <c r="D7976">
        <v>11</v>
      </c>
    </row>
    <row r="7977" spans="1:4" x14ac:dyDescent="0.25">
      <c r="A7977" t="str">
        <f>T("   851679")</f>
        <v xml:space="preserve">   851679</v>
      </c>
      <c r="B7977" t="s">
        <v>456</v>
      </c>
      <c r="C7977">
        <v>1402101</v>
      </c>
      <c r="D7977">
        <v>1993</v>
      </c>
    </row>
    <row r="7978" spans="1:4" x14ac:dyDescent="0.25">
      <c r="A7978" t="str">
        <f>T("   851711")</f>
        <v xml:space="preserve">   851711</v>
      </c>
      <c r="B7978" t="str">
        <f>T("   Postes téléphoniques d'usagers pour la téléphonie par fil à combinés sans fil")</f>
        <v xml:space="preserve">   Postes téléphoniques d'usagers pour la téléphonie par fil à combinés sans fil</v>
      </c>
      <c r="C7978">
        <v>79092750</v>
      </c>
      <c r="D7978">
        <v>1512</v>
      </c>
    </row>
    <row r="7979" spans="1:4" x14ac:dyDescent="0.25">
      <c r="A7979" t="str">
        <f>T("   851780")</f>
        <v xml:space="preserve">   851780</v>
      </c>
      <c r="B7979" t="s">
        <v>458</v>
      </c>
      <c r="C7979">
        <v>112341517</v>
      </c>
      <c r="D7979">
        <v>3390</v>
      </c>
    </row>
    <row r="7980" spans="1:4" x14ac:dyDescent="0.25">
      <c r="A7980" t="str">
        <f>T("   851822")</f>
        <v xml:space="preserve">   851822</v>
      </c>
      <c r="B7980" t="str">
        <f>T("   Haut-parleurs multiples montés dans la même enceinte")</f>
        <v xml:space="preserve">   Haut-parleurs multiples montés dans la même enceinte</v>
      </c>
      <c r="C7980">
        <v>910458</v>
      </c>
      <c r="D7980">
        <v>259</v>
      </c>
    </row>
    <row r="7981" spans="1:4" x14ac:dyDescent="0.25">
      <c r="A7981" t="str">
        <f>T("   851829")</f>
        <v xml:space="preserve">   851829</v>
      </c>
      <c r="B7981" t="str">
        <f>T("   Haut-parleurs sans enceinte")</f>
        <v xml:space="preserve">   Haut-parleurs sans enceinte</v>
      </c>
      <c r="C7981">
        <v>138053</v>
      </c>
      <c r="D7981">
        <v>100</v>
      </c>
    </row>
    <row r="7982" spans="1:4" x14ac:dyDescent="0.25">
      <c r="A7982" t="str">
        <f>T("   852390")</f>
        <v xml:space="preserve">   852390</v>
      </c>
      <c r="B7982" t="str">
        <f>T("   SUPPORTS PRÉPARÉS POUR L'ENREGISTREMENT DU SON OU POUR ENREGISTREMENTS ANALOGUES, NON-ENREGISTRÉS (AUTRES QUE BANDES ET DISQUES MAGNÉTIQUES, CARTES MUNIES D'UNE PISTE MAGNÉTIQUE ET PRODUITS DU CHAPITRE 37)")</f>
        <v xml:space="preserve">   SUPPORTS PRÉPARÉS POUR L'ENREGISTREMENT DU SON OU POUR ENREGISTREMENTS ANALOGUES, NON-ENREGISTRÉS (AUTRES QUE BANDES ET DISQUES MAGNÉTIQUES, CARTES MUNIES D'UNE PISTE MAGNÉTIQUE ET PRODUITS DU CHAPITRE 37)</v>
      </c>
      <c r="C7982">
        <v>1822260</v>
      </c>
      <c r="D7982">
        <v>1217</v>
      </c>
    </row>
    <row r="7983" spans="1:4" x14ac:dyDescent="0.25">
      <c r="A7983" t="str">
        <f>T("   852530")</f>
        <v xml:space="preserve">   852530</v>
      </c>
      <c r="B7983" t="str">
        <f>T("   Caméras de télévision (à l'excl. de caméscopes)")</f>
        <v xml:space="preserve">   Caméras de télévision (à l'excl. de caméscopes)</v>
      </c>
      <c r="C7983">
        <v>9935283</v>
      </c>
      <c r="D7983">
        <v>476</v>
      </c>
    </row>
    <row r="7984" spans="1:4" x14ac:dyDescent="0.25">
      <c r="A7984" t="str">
        <f>T("   852812")</f>
        <v xml:space="preserve">   852812</v>
      </c>
      <c r="B7984"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7984">
        <v>43876090</v>
      </c>
      <c r="D7984">
        <v>9044</v>
      </c>
    </row>
    <row r="7985" spans="1:4" x14ac:dyDescent="0.25">
      <c r="A7985" t="str">
        <f>T("   852910")</f>
        <v xml:space="preserve">   852910</v>
      </c>
      <c r="B7985"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7985">
        <v>3565708</v>
      </c>
      <c r="D7985">
        <v>19</v>
      </c>
    </row>
    <row r="7986" spans="1:4" x14ac:dyDescent="0.25">
      <c r="A7986" t="str">
        <f>T("   853620")</f>
        <v xml:space="preserve">   853620</v>
      </c>
      <c r="B7986" t="str">
        <f>T("   Disjoncteurs, pour une tension &lt;= 1.000 V")</f>
        <v xml:space="preserve">   Disjoncteurs, pour une tension &lt;= 1.000 V</v>
      </c>
      <c r="C7986">
        <v>408780</v>
      </c>
      <c r="D7986">
        <v>4058</v>
      </c>
    </row>
    <row r="7987" spans="1:4" x14ac:dyDescent="0.25">
      <c r="A7987" t="str">
        <f>T("   853630")</f>
        <v xml:space="preserve">   853630</v>
      </c>
      <c r="B7987" t="str">
        <f>T("   APPAREILS POUR LA PROTECTION DES CIRCUITS ÉLECTRIQUES (SAUF FUSIBLES, COUPE-CIRCUIT À FUSIBLES ET DISJONCTEURS), POUR UNE TENSION &lt;= 1.000 V")</f>
        <v xml:space="preserve">   APPAREILS POUR LA PROTECTION DES CIRCUITS ÉLECTRIQUES (SAUF FUSIBLES, COUPE-CIRCUIT À FUSIBLES ET DISJONCTEURS), POUR UNE TENSION &lt;= 1.000 V</v>
      </c>
      <c r="C7987">
        <v>82560626</v>
      </c>
      <c r="D7987">
        <v>7840</v>
      </c>
    </row>
    <row r="7988" spans="1:4" x14ac:dyDescent="0.25">
      <c r="A7988" t="str">
        <f>T("   853650")</f>
        <v xml:space="preserve">   853650</v>
      </c>
      <c r="B7988" t="str">
        <f>T("   Interrupteurs, sectionneurs et commutateurs, pour une tension &lt;= 1.000 V (autres que relais et disjoncteurs)")</f>
        <v xml:space="preserve">   Interrupteurs, sectionneurs et commutateurs, pour une tension &lt;= 1.000 V (autres que relais et disjoncteurs)</v>
      </c>
      <c r="C7988">
        <v>577986</v>
      </c>
      <c r="D7988">
        <v>8084</v>
      </c>
    </row>
    <row r="7989" spans="1:4" x14ac:dyDescent="0.25">
      <c r="A7989" t="str">
        <f>T("   853690")</f>
        <v xml:space="preserve">   853690</v>
      </c>
      <c r="B7989" t="s">
        <v>474</v>
      </c>
      <c r="C7989">
        <v>867343</v>
      </c>
      <c r="D7989">
        <v>787</v>
      </c>
    </row>
    <row r="7990" spans="1:4" x14ac:dyDescent="0.25">
      <c r="A7990" t="str">
        <f>T("   853710")</f>
        <v xml:space="preserve">   853710</v>
      </c>
      <c r="B7990"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7990">
        <v>460608</v>
      </c>
      <c r="D7990">
        <v>2955</v>
      </c>
    </row>
    <row r="7991" spans="1:4" x14ac:dyDescent="0.25">
      <c r="A7991" t="str">
        <f>T("   853720")</f>
        <v xml:space="preserve">   853720</v>
      </c>
      <c r="B7991"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7991">
        <v>13075589</v>
      </c>
      <c r="D7991">
        <v>650</v>
      </c>
    </row>
    <row r="7992" spans="1:4" x14ac:dyDescent="0.25">
      <c r="A7992" t="str">
        <f>T("   853890")</f>
        <v xml:space="preserve">   853890</v>
      </c>
      <c r="B7992" t="s">
        <v>475</v>
      </c>
      <c r="C7992">
        <v>2105305</v>
      </c>
      <c r="D7992">
        <v>46</v>
      </c>
    </row>
    <row r="7993" spans="1:4" x14ac:dyDescent="0.25">
      <c r="A7993" t="str">
        <f>T("   854411")</f>
        <v xml:space="preserve">   854411</v>
      </c>
      <c r="B7993" t="str">
        <f>T("   Fils pour bobinages pour l'électricité, en cuivre, isolés")</f>
        <v xml:space="preserve">   Fils pour bobinages pour l'électricité, en cuivre, isolés</v>
      </c>
      <c r="C7993">
        <v>1235207</v>
      </c>
      <c r="D7993">
        <v>1606</v>
      </c>
    </row>
    <row r="7994" spans="1:4" x14ac:dyDescent="0.25">
      <c r="A7994" t="str">
        <f>T("   854420")</f>
        <v xml:space="preserve">   854420</v>
      </c>
      <c r="B7994" t="str">
        <f>T("   Câbles coaxiaux et autres conducteurs électriques coaxiaux, isolés")</f>
        <v xml:space="preserve">   Câbles coaxiaux et autres conducteurs électriques coaxiaux, isolés</v>
      </c>
      <c r="C7994">
        <v>3400988</v>
      </c>
      <c r="D7994">
        <v>2543</v>
      </c>
    </row>
    <row r="7995" spans="1:4" x14ac:dyDescent="0.25">
      <c r="A7995" t="str">
        <f>T("   870540")</f>
        <v xml:space="preserve">   870540</v>
      </c>
      <c r="B7995" t="str">
        <f>T("   Camions-bétonnières")</f>
        <v xml:space="preserve">   Camions-bétonnières</v>
      </c>
      <c r="C7995">
        <v>92381780</v>
      </c>
      <c r="D7995">
        <v>32780</v>
      </c>
    </row>
    <row r="7996" spans="1:4" x14ac:dyDescent="0.25">
      <c r="A7996" t="str">
        <f>T("   870590")</f>
        <v xml:space="preserve">   870590</v>
      </c>
      <c r="B7996" t="s">
        <v>491</v>
      </c>
      <c r="C7996">
        <v>6159929</v>
      </c>
      <c r="D7996">
        <v>3000</v>
      </c>
    </row>
    <row r="7997" spans="1:4" x14ac:dyDescent="0.25">
      <c r="A7997" t="str">
        <f>T("   870840")</f>
        <v xml:space="preserve">   870840</v>
      </c>
      <c r="B7997" t="str">
        <f>T("   BOÎTES DE VITESSE ET LEURS PARTIES, POUR TRACTEURS, VÉHICULES POUR LE TRANSPORT DE &gt;= 10 PERSONNES, CHAUFFEUR INCLUS, VOITURES DE TOURISME, VÉHICULES POUR LE TRANSPORT DE MARCHANDISES ET VÉHICULES À USAGES SPÉCIAUX, N.D.A.")</f>
        <v xml:space="preserve">   BOÎTES DE VITESSE ET LEURS PARTIES, POUR TRACTEURS, VÉHICULES POUR LE TRANSPORT DE &gt;= 10 PERSONNES, CHAUFFEUR INCLUS, VOITURES DE TOURISME, VÉHICULES POUR LE TRANSPORT DE MARCHANDISES ET VÉHICULES À USAGES SPÉCIAUX, N.D.A.</v>
      </c>
      <c r="C7997">
        <v>570237</v>
      </c>
      <c r="D7997">
        <v>5194</v>
      </c>
    </row>
    <row r="7998" spans="1:4" x14ac:dyDescent="0.25">
      <c r="A7998" t="str">
        <f>T("   870891")</f>
        <v xml:space="preserve">   870891</v>
      </c>
      <c r="B7998" t="str">
        <f>T("   RADIATEURS ET LEURS PARTIES, POUR TRACTEURS, VÉHICULES POUR LE TRANSPORT DE &gt;= 10 PERSONNES, CHAUFFEUR INCLUS, VOITURES DE TOURISME, VÉHICULES POUR LE TRANSPORT DE MARCHANDISES ET VÉHICULES À USAGES SPÉCIAUX, N.D.A.")</f>
        <v xml:space="preserve">   RADIATEURS ET LEURS PARTIES, POUR TRACTEURS, VÉHICULES POUR LE TRANSPORT DE &gt;= 10 PERSONNES, CHAUFFEUR INCLUS, VOITURES DE TOURISME, VÉHICULES POUR LE TRANSPORT DE MARCHANDISES ET VÉHICULES À USAGES SPÉCIAUX, N.D.A.</v>
      </c>
      <c r="C7998">
        <v>184118</v>
      </c>
      <c r="D7998">
        <v>2071</v>
      </c>
    </row>
    <row r="7999" spans="1:4" x14ac:dyDescent="0.25">
      <c r="A7999" t="str">
        <f>T("   870899")</f>
        <v xml:space="preserve">   870899</v>
      </c>
      <c r="B7999"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7999">
        <v>10789955</v>
      </c>
      <c r="D7999">
        <v>7218</v>
      </c>
    </row>
    <row r="8000" spans="1:4" x14ac:dyDescent="0.25">
      <c r="A8000" t="str">
        <f>T("   871120")</f>
        <v xml:space="preserve">   871120</v>
      </c>
      <c r="B8000" t="str">
        <f>T("   Motocycles à moteur à piston alternatif, cylindrée &gt; 50 cm³ mais &lt;= 250 cm³")</f>
        <v xml:space="preserve">   Motocycles à moteur à piston alternatif, cylindrée &gt; 50 cm³ mais &lt;= 250 cm³</v>
      </c>
      <c r="C8000">
        <v>17280330</v>
      </c>
      <c r="D8000">
        <v>9984</v>
      </c>
    </row>
    <row r="8001" spans="1:4" x14ac:dyDescent="0.25">
      <c r="A8001" t="str">
        <f>T("   871200")</f>
        <v xml:space="preserve">   871200</v>
      </c>
      <c r="B8001" t="str">
        <f>T("   BICYCLETTES ET AUTRES CYCLES, -Y.C. LES TRIPORTEURS-, SANS MOTEUR")</f>
        <v xml:space="preserve">   BICYCLETTES ET AUTRES CYCLES, -Y.C. LES TRIPORTEURS-, SANS MOTEUR</v>
      </c>
      <c r="C8001">
        <v>14798014</v>
      </c>
      <c r="D8001">
        <v>22665</v>
      </c>
    </row>
    <row r="8002" spans="1:4" x14ac:dyDescent="0.25">
      <c r="A8002" t="str">
        <f>T("   871680")</f>
        <v xml:space="preserve">   871680</v>
      </c>
      <c r="B8002" t="str">
        <f>T("   Véhicules dirigés à la main et autres véhicules non automobiles, autres que remorques et semi-remorques")</f>
        <v xml:space="preserve">   Véhicules dirigés à la main et autres véhicules non automobiles, autres que remorques et semi-remorques</v>
      </c>
      <c r="C8002">
        <v>319466</v>
      </c>
      <c r="D8002">
        <v>1000</v>
      </c>
    </row>
    <row r="8003" spans="1:4" x14ac:dyDescent="0.25">
      <c r="A8003" t="str">
        <f>T("   900999")</f>
        <v xml:space="preserve">   900999</v>
      </c>
      <c r="B8003" t="str">
        <f>T("   Parties et accessoires d'appareils de photocopie et de thermocopie, n.d.a. (à l'excl. des dispositifs automatiques d'alimentation en documents, des dispositifs d'alimentation en papier et des dispositifs de tri)")</f>
        <v xml:space="preserve">   Parties et accessoires d'appareils de photocopie et de thermocopie, n.d.a. (à l'excl. des dispositifs automatiques d'alimentation en documents, des dispositifs d'alimentation en papier et des dispositifs de tri)</v>
      </c>
      <c r="C8003">
        <v>746486</v>
      </c>
      <c r="D8003">
        <v>328</v>
      </c>
    </row>
    <row r="8004" spans="1:4" x14ac:dyDescent="0.25">
      <c r="A8004" t="str">
        <f>T("   902519")</f>
        <v xml:space="preserve">   902519</v>
      </c>
      <c r="B8004" t="str">
        <f>T("   THERMOMÈTRES ET PYROMÈTRES, NON-COMBINÉS À D'AUTRES INSTRUMENTS (À L'EXCL. DES THERMOMÈTRES À LIQUIDE, À LECTURE DIRECTE) [01/01/1988-31/12/1991: THERMOMÈTRES, NON COMBINES A D'AUTRES INSTRUMENTS, (NON REPR. SOUS 9025.11)]")</f>
        <v xml:space="preserve">   THERMOMÈTRES ET PYROMÈTRES, NON-COMBINÉS À D'AUTRES INSTRUMENTS (À L'EXCL. DES THERMOMÈTRES À LIQUIDE, À LECTURE DIRECTE) [01/01/1988-31/12/1991: THERMOMÈTRES, NON COMBINES A D'AUTRES INSTRUMENTS, (NON REPR. SOUS 9025.11)]</v>
      </c>
      <c r="C8004">
        <v>261072</v>
      </c>
      <c r="D8004">
        <v>10.5</v>
      </c>
    </row>
    <row r="8005" spans="1:4" x14ac:dyDescent="0.25">
      <c r="A8005" t="str">
        <f>T("   903039")</f>
        <v xml:space="preserve">   903039</v>
      </c>
      <c r="B8005" t="str">
        <f>T("   Instruments et appareils pour la mesure ou le contrôle de la tension, de l'intensité, de la résistance ou de la puissance, sans dispositif enregistreur (à l'excl. des multimètres ainsi que des oscilloscopes et oscillographes cathodiques)")</f>
        <v xml:space="preserve">   Instruments et appareils pour la mesure ou le contrôle de la tension, de l'intensité, de la résistance ou de la puissance, sans dispositif enregistreur (à l'excl. des multimètres ainsi que des oscilloscopes et oscillographes cathodiques)</v>
      </c>
      <c r="C8005">
        <v>3745828</v>
      </c>
      <c r="D8005">
        <v>7900</v>
      </c>
    </row>
    <row r="8006" spans="1:4" x14ac:dyDescent="0.25">
      <c r="A8006" t="str">
        <f>T("   910521")</f>
        <v xml:space="preserve">   910521</v>
      </c>
      <c r="B8006" t="str">
        <f>T("   PENDULES ET HORLOGES, MURALES, FONCTIONNANT ÉLECTRIQUEMENT [01/01/1988-31/12/1994: PENDULES ET HORLOGES MURALES, A PILE OU A ACCUMULATEUR OU FONCTIONNANT SUR SECTEUR]")</f>
        <v xml:space="preserve">   PENDULES ET HORLOGES, MURALES, FONCTIONNANT ÉLECTRIQUEMENT [01/01/1988-31/12/1994: PENDULES ET HORLOGES MURALES, A PILE OU A ACCUMULATEUR OU FONCTIONNANT SUR SECTEUR]</v>
      </c>
      <c r="C8006">
        <v>29197</v>
      </c>
      <c r="D8006">
        <v>774</v>
      </c>
    </row>
    <row r="8007" spans="1:4" x14ac:dyDescent="0.25">
      <c r="A8007" t="str">
        <f>T("   940130")</f>
        <v xml:space="preserve">   940130</v>
      </c>
      <c r="B8007" t="str">
        <f>T("   Sièges pivotants, ajustables en hauteur (à l'excl. de ceux pour la médecine, la chirurgie, l'art dentaire ou vétérinaire, ainsi que des fauteuils pour salons de coiffure)")</f>
        <v xml:space="preserve">   Sièges pivotants, ajustables en hauteur (à l'excl. de ceux pour la médecine, la chirurgie, l'art dentaire ou vétérinaire, ainsi que des fauteuils pour salons de coiffure)</v>
      </c>
      <c r="C8007">
        <v>5330371</v>
      </c>
      <c r="D8007">
        <v>6384</v>
      </c>
    </row>
    <row r="8008" spans="1:4" x14ac:dyDescent="0.25">
      <c r="A8008" t="str">
        <f>T("   940161")</f>
        <v xml:space="preserve">   940161</v>
      </c>
      <c r="B8008" t="str">
        <f>T("   Sièges, avec bâti en bois, rembourrés (non transformables en lits)")</f>
        <v xml:space="preserve">   Sièges, avec bâti en bois, rembourrés (non transformables en lits)</v>
      </c>
      <c r="C8008">
        <v>171616</v>
      </c>
      <c r="D8008">
        <v>48</v>
      </c>
    </row>
    <row r="8009" spans="1:4" x14ac:dyDescent="0.25">
      <c r="A8009" t="str">
        <f>T("   940169")</f>
        <v xml:space="preserve">   940169</v>
      </c>
      <c r="B8009" t="str">
        <f>T("   Sièges, avec bâti en bois, non rembourrés")</f>
        <v xml:space="preserve">   Sièges, avec bâti en bois, non rembourrés</v>
      </c>
      <c r="C8009">
        <v>75073</v>
      </c>
      <c r="D8009">
        <v>668</v>
      </c>
    </row>
    <row r="8010" spans="1:4" x14ac:dyDescent="0.25">
      <c r="A8010" t="str">
        <f>T("   940171")</f>
        <v xml:space="preserve">   940171</v>
      </c>
      <c r="B8010" t="str">
        <f>T("   Sièges, avec bâti en métal, rembourrés (autres que pour véhicules aériens ou automobiles, autres que fauteuils pivotants ajustables en hauteur et autres que pour la médecine, l'art dentaire ou la chirurgie)")</f>
        <v xml:space="preserve">   Sièges, avec bâti en métal, rembourrés (autres que pour véhicules aériens ou automobiles, autres que fauteuils pivotants ajustables en hauteur et autres que pour la médecine, l'art dentaire ou la chirurgie)</v>
      </c>
      <c r="C8010">
        <v>105</v>
      </c>
      <c r="D8010">
        <v>29</v>
      </c>
    </row>
    <row r="8011" spans="1:4" x14ac:dyDescent="0.25">
      <c r="A8011" t="str">
        <f>T("   940180")</f>
        <v xml:space="preserve">   940180</v>
      </c>
      <c r="B8011" t="str">
        <f>T("   Sièges, n.d.a.")</f>
        <v xml:space="preserve">   Sièges, n.d.a.</v>
      </c>
      <c r="C8011">
        <v>211</v>
      </c>
      <c r="D8011">
        <v>89</v>
      </c>
    </row>
    <row r="8012" spans="1:4" x14ac:dyDescent="0.25">
      <c r="A8012" t="str">
        <f>T("   940320")</f>
        <v xml:space="preserve">   940320</v>
      </c>
      <c r="B8012"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8012">
        <v>3663540</v>
      </c>
      <c r="D8012">
        <v>1018</v>
      </c>
    </row>
    <row r="8013" spans="1:4" x14ac:dyDescent="0.25">
      <c r="A8013" t="str">
        <f>T("   940360")</f>
        <v xml:space="preserve">   940360</v>
      </c>
      <c r="B8013" t="str">
        <f>T("   Meubles en bois (autres que pour bureaux, cuisines ou chambres à coucher et autres que sièges)")</f>
        <v xml:space="preserve">   Meubles en bois (autres que pour bureaux, cuisines ou chambres à coucher et autres que sièges)</v>
      </c>
      <c r="C8013">
        <v>1434169</v>
      </c>
      <c r="D8013">
        <v>4378</v>
      </c>
    </row>
    <row r="8014" spans="1:4" x14ac:dyDescent="0.25">
      <c r="A8014" t="str">
        <f>T("   940520")</f>
        <v xml:space="preserve">   940520</v>
      </c>
      <c r="B8014" t="str">
        <f>T("   Lampes de chevet, lampes de bureau et lampadaires d'intérieur, électriques")</f>
        <v xml:space="preserve">   Lampes de chevet, lampes de bureau et lampadaires d'intérieur, électriques</v>
      </c>
      <c r="C8014">
        <v>8576</v>
      </c>
      <c r="D8014">
        <v>194</v>
      </c>
    </row>
    <row r="8015" spans="1:4" x14ac:dyDescent="0.25">
      <c r="A8015" t="str">
        <f>T("   940540")</f>
        <v xml:space="preserve">   940540</v>
      </c>
      <c r="B8015" t="str">
        <f>T("   Appareils d'éclairage électrique, n.d.a.")</f>
        <v xml:space="preserve">   Appareils d'éclairage électrique, n.d.a.</v>
      </c>
      <c r="C8015">
        <v>9433603</v>
      </c>
      <c r="D8015">
        <v>1582</v>
      </c>
    </row>
    <row r="8016" spans="1:4" x14ac:dyDescent="0.25">
      <c r="A8016" t="str">
        <f>T("   950299")</f>
        <v xml:space="preserve">   950299</v>
      </c>
      <c r="B8016" t="str">
        <f>T("   Parties et accessoires pour poupées représentant uniquement l'être humain, n.d.a.")</f>
        <v xml:space="preserve">   Parties et accessoires pour poupées représentant uniquement l'être humain, n.d.a.</v>
      </c>
      <c r="C8016">
        <v>244469</v>
      </c>
      <c r="D8016">
        <v>724</v>
      </c>
    </row>
    <row r="8017" spans="1:4" x14ac:dyDescent="0.25">
      <c r="A8017" t="str">
        <f>T("   950390")</f>
        <v xml:space="preserve">   950390</v>
      </c>
      <c r="B8017" t="str">
        <f>T("   Jouets, n.d.a.")</f>
        <v xml:space="preserve">   Jouets, n.d.a.</v>
      </c>
      <c r="C8017">
        <v>910458</v>
      </c>
      <c r="D8017">
        <v>2211</v>
      </c>
    </row>
    <row r="8018" spans="1:4" x14ac:dyDescent="0.25">
      <c r="A8018" t="str">
        <f>T("   950590")</f>
        <v xml:space="preserve">   950590</v>
      </c>
      <c r="B8018" t="str">
        <f>T("   Articles pour fêtes, carnaval ou autres divertissements, y.c. les articles de magie et articles-surprises, n.d.a.")</f>
        <v xml:space="preserve">   Articles pour fêtes, carnaval ou autres divertissements, y.c. les articles de magie et articles-surprises, n.d.a.</v>
      </c>
      <c r="C8018">
        <v>10790</v>
      </c>
      <c r="D8018">
        <v>33</v>
      </c>
    </row>
    <row r="8019" spans="1:4" x14ac:dyDescent="0.25">
      <c r="A8019" t="str">
        <f>T("   950662")</f>
        <v xml:space="preserve">   950662</v>
      </c>
      <c r="B8019" t="str">
        <f>T("   Ballons et balles gonflables")</f>
        <v xml:space="preserve">   Ballons et balles gonflables</v>
      </c>
      <c r="C8019">
        <v>24927</v>
      </c>
      <c r="D8019">
        <v>7</v>
      </c>
    </row>
    <row r="8020" spans="1:4" x14ac:dyDescent="0.25">
      <c r="A8020" t="str">
        <f>T("   950699")</f>
        <v xml:space="preserve">   950699</v>
      </c>
      <c r="B8020" t="str">
        <f>T("   Articles et matériel pour le sport et les jeux de plein air, n.d.a.; piscines et pataugeoires")</f>
        <v xml:space="preserve">   Articles et matériel pour le sport et les jeux de plein air, n.d.a.; piscines et pataugeoires</v>
      </c>
      <c r="C8020">
        <v>633</v>
      </c>
      <c r="D8020">
        <v>122</v>
      </c>
    </row>
    <row r="8021" spans="1:4" x14ac:dyDescent="0.25">
      <c r="A8021" t="str">
        <f>T("   960340")</f>
        <v xml:space="preserve">   960340</v>
      </c>
      <c r="B8021" t="str">
        <f>T("   Brosses et pinceaux à peindre, à badigeonner, à vernir ou simil., sauf pinceaux pour artistes et pinceaux simil. du n° 9603.30; tampons et rouleaux à peindre")</f>
        <v xml:space="preserve">   Brosses et pinceaux à peindre, à badigeonner, à vernir ou simil., sauf pinceaux pour artistes et pinceaux simil. du n° 9603.30; tampons et rouleaux à peindre</v>
      </c>
      <c r="C8021">
        <v>490357</v>
      </c>
      <c r="D8021">
        <v>310</v>
      </c>
    </row>
    <row r="8022" spans="1:4" x14ac:dyDescent="0.25">
      <c r="A8022" t="str">
        <f>T("   960810")</f>
        <v xml:space="preserve">   960810</v>
      </c>
      <c r="B8022" t="str">
        <f>T("   Stylos et crayons à bille")</f>
        <v xml:space="preserve">   Stylos et crayons à bille</v>
      </c>
      <c r="C8022">
        <v>15531</v>
      </c>
      <c r="D8022">
        <v>1952</v>
      </c>
    </row>
    <row r="8023" spans="1:4" x14ac:dyDescent="0.25">
      <c r="A8023" t="str">
        <f>T("LI")</f>
        <v>LI</v>
      </c>
      <c r="B8023" t="str">
        <f>T("Liechtenstein")</f>
        <v>Liechtenstein</v>
      </c>
    </row>
    <row r="8024" spans="1:4" x14ac:dyDescent="0.25">
      <c r="A8024" t="str">
        <f>T("   ZZ_Total_Produit_SH6")</f>
        <v xml:space="preserve">   ZZ_Total_Produit_SH6</v>
      </c>
      <c r="B8024" t="str">
        <f>T("   ZZ_Total_Produit_SH6")</f>
        <v xml:space="preserve">   ZZ_Total_Produit_SH6</v>
      </c>
      <c r="C8024">
        <v>77823744.057999998</v>
      </c>
      <c r="D8024">
        <v>177468.57</v>
      </c>
    </row>
    <row r="8025" spans="1:4" x14ac:dyDescent="0.25">
      <c r="A8025" t="str">
        <f>T("   110100")</f>
        <v xml:space="preserve">   110100</v>
      </c>
      <c r="B8025" t="str">
        <f>T("   Farines de froment [blé] ou de méteil")</f>
        <v xml:space="preserve">   Farines de froment [blé] ou de méteil</v>
      </c>
      <c r="C8025">
        <v>31296664.057999998</v>
      </c>
      <c r="D8025">
        <v>120000</v>
      </c>
    </row>
    <row r="8026" spans="1:4" x14ac:dyDescent="0.25">
      <c r="A8026" t="str">
        <f>T("   490199")</f>
        <v xml:space="preserve">   490199</v>
      </c>
      <c r="B8026"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8026">
        <v>1917400</v>
      </c>
      <c r="D8026">
        <v>16000</v>
      </c>
    </row>
    <row r="8027" spans="1:4" x14ac:dyDescent="0.25">
      <c r="A8027" t="str">
        <f>T("   721049")</f>
        <v xml:space="preserve">   721049</v>
      </c>
      <c r="B8027" t="str">
        <f>T("   Produits laminés plats, en fer ou en aciers non alliés, d'une largeur &gt;= 600 mm, laminés à chaud ou à froid, zingués, non ondulés (à l'excl. des produits zingués électrolytiquement)")</f>
        <v xml:space="preserve">   Produits laminés plats, en fer ou en aciers non alliés, d'une largeur &gt;= 600 mm, laminés à chaud ou à froid, zingués, non ondulés (à l'excl. des produits zingués électrolytiquement)</v>
      </c>
      <c r="C8027">
        <v>21521568</v>
      </c>
      <c r="D8027">
        <v>41104</v>
      </c>
    </row>
    <row r="8028" spans="1:4" x14ac:dyDescent="0.25">
      <c r="A8028" t="str">
        <f>T("   842139")</f>
        <v xml:space="preserve">   842139</v>
      </c>
      <c r="B8028" t="str">
        <f>T("   Appareils pour la filtration ou l'épuration des gaz (autres que pour la séparation isotopique et sauf les filtres d'entrée d'air pour moteurs à allumage par étincelles ou par compression)")</f>
        <v xml:space="preserve">   Appareils pour la filtration ou l'épuration des gaz (autres que pour la séparation isotopique et sauf les filtres d'entrée d'air pour moteurs à allumage par étincelles ou par compression)</v>
      </c>
      <c r="C8028">
        <v>377177</v>
      </c>
      <c r="D8028">
        <v>100</v>
      </c>
    </row>
    <row r="8029" spans="1:4" x14ac:dyDescent="0.25">
      <c r="A8029" t="str">
        <f>T("   843120")</f>
        <v xml:space="preserve">   843120</v>
      </c>
      <c r="B8029" t="str">
        <f>T("   Parties de chariots-gerbeurs et autres chariots de manutention munis d'un dispositif de levage, n.d.a.")</f>
        <v xml:space="preserve">   Parties de chariots-gerbeurs et autres chariots de manutention munis d'un dispositif de levage, n.d.a.</v>
      </c>
      <c r="C8029">
        <v>587912</v>
      </c>
      <c r="D8029">
        <v>8</v>
      </c>
    </row>
    <row r="8030" spans="1:4" x14ac:dyDescent="0.25">
      <c r="A8030" t="str">
        <f>T("   847190")</f>
        <v xml:space="preserve">   847190</v>
      </c>
      <c r="B8030"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8030">
        <v>1853176</v>
      </c>
      <c r="D8030">
        <v>85</v>
      </c>
    </row>
    <row r="8031" spans="1:4" x14ac:dyDescent="0.25">
      <c r="A8031" t="str">
        <f>T("   851750")</f>
        <v xml:space="preserve">   851750</v>
      </c>
      <c r="B8031" t="s">
        <v>457</v>
      </c>
      <c r="C8031">
        <v>14025532</v>
      </c>
      <c r="D8031">
        <v>118</v>
      </c>
    </row>
    <row r="8032" spans="1:4" x14ac:dyDescent="0.25">
      <c r="A8032" t="str">
        <f>T("   851780")</f>
        <v xml:space="preserve">   851780</v>
      </c>
      <c r="B8032" t="s">
        <v>458</v>
      </c>
      <c r="C8032">
        <v>6106536</v>
      </c>
      <c r="D8032">
        <v>53</v>
      </c>
    </row>
    <row r="8033" spans="1:4" x14ac:dyDescent="0.25">
      <c r="A8033" t="str">
        <f>T("   870899")</f>
        <v xml:space="preserve">   870899</v>
      </c>
      <c r="B8033"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8033">
        <v>137779</v>
      </c>
      <c r="D8033">
        <v>0.56999999999999995</v>
      </c>
    </row>
    <row r="8034" spans="1:4" x14ac:dyDescent="0.25">
      <c r="A8034" t="str">
        <f>T("LR")</f>
        <v>LR</v>
      </c>
      <c r="B8034" t="str">
        <f>T("Libéria")</f>
        <v>Libéria</v>
      </c>
    </row>
    <row r="8035" spans="1:4" x14ac:dyDescent="0.25">
      <c r="A8035" t="str">
        <f>T("   ZZ_Total_Produit_SH6")</f>
        <v xml:space="preserve">   ZZ_Total_Produit_SH6</v>
      </c>
      <c r="B8035" t="str">
        <f>T("   ZZ_Total_Produit_SH6")</f>
        <v xml:space="preserve">   ZZ_Total_Produit_SH6</v>
      </c>
      <c r="C8035">
        <v>3452982</v>
      </c>
      <c r="D8035">
        <v>11595</v>
      </c>
    </row>
    <row r="8036" spans="1:4" x14ac:dyDescent="0.25">
      <c r="A8036" t="str">
        <f>T("   330499")</f>
        <v xml:space="preserve">   330499</v>
      </c>
      <c r="B8036" t="s">
        <v>101</v>
      </c>
      <c r="C8036">
        <v>2123128</v>
      </c>
      <c r="D8036">
        <v>11565</v>
      </c>
    </row>
    <row r="8037" spans="1:4" x14ac:dyDescent="0.25">
      <c r="A8037" t="str">
        <f>T("   901890")</f>
        <v xml:space="preserve">   901890</v>
      </c>
      <c r="B8037" t="str">
        <f>T("   Instruments et appareils pour la médecine, la chirurgie ou l'art vétérinaire, n.d.a.")</f>
        <v xml:space="preserve">   Instruments et appareils pour la médecine, la chirurgie ou l'art vétérinaire, n.d.a.</v>
      </c>
      <c r="C8037">
        <v>1329854</v>
      </c>
      <c r="D8037">
        <v>30</v>
      </c>
    </row>
    <row r="8038" spans="1:4" x14ac:dyDescent="0.25">
      <c r="A8038" t="str">
        <f>T("LT")</f>
        <v>LT</v>
      </c>
      <c r="B8038" t="str">
        <f>T("Lituanie")</f>
        <v>Lituanie</v>
      </c>
    </row>
    <row r="8039" spans="1:4" x14ac:dyDescent="0.25">
      <c r="A8039" t="str">
        <f>T("   ZZ_Total_Produit_SH6")</f>
        <v xml:space="preserve">   ZZ_Total_Produit_SH6</v>
      </c>
      <c r="B8039" t="str">
        <f>T("   ZZ_Total_Produit_SH6")</f>
        <v xml:space="preserve">   ZZ_Total_Produit_SH6</v>
      </c>
      <c r="C8039">
        <v>43612172</v>
      </c>
      <c r="D8039">
        <v>117424</v>
      </c>
    </row>
    <row r="8040" spans="1:4" x14ac:dyDescent="0.25">
      <c r="A8040" t="str">
        <f>T("   190230")</f>
        <v xml:space="preserve">   190230</v>
      </c>
      <c r="B8040" t="str">
        <f>T("   Pâtes alimentaires, cuites ou autrement préparées (à l'excl. des pâtes alimentaires farcies)")</f>
        <v xml:space="preserve">   Pâtes alimentaires, cuites ou autrement préparées (à l'excl. des pâtes alimentaires farcies)</v>
      </c>
      <c r="C8040">
        <v>6200985</v>
      </c>
      <c r="D8040">
        <v>25272</v>
      </c>
    </row>
    <row r="8041" spans="1:4" x14ac:dyDescent="0.25">
      <c r="A8041" t="str">
        <f>T("   630900")</f>
        <v xml:space="preserve">   630900</v>
      </c>
      <c r="B8041" t="s">
        <v>278</v>
      </c>
      <c r="C8041">
        <v>30001643</v>
      </c>
      <c r="D8041">
        <v>66000</v>
      </c>
    </row>
    <row r="8042" spans="1:4" x14ac:dyDescent="0.25">
      <c r="A8042" t="str">
        <f>T("   870120")</f>
        <v xml:space="preserve">   870120</v>
      </c>
      <c r="B8042" t="str">
        <f>T("   Tracteurs routiers pour semi-remorques")</f>
        <v xml:space="preserve">   Tracteurs routiers pour semi-remorques</v>
      </c>
      <c r="C8042">
        <v>2923352</v>
      </c>
      <c r="D8042">
        <v>9992</v>
      </c>
    </row>
    <row r="8043" spans="1:4" x14ac:dyDescent="0.25">
      <c r="A8043" t="str">
        <f>T("   870422")</f>
        <v xml:space="preserve">   870422</v>
      </c>
      <c r="B8043" t="s">
        <v>487</v>
      </c>
      <c r="C8043">
        <v>2000000</v>
      </c>
      <c r="D8043">
        <v>5800</v>
      </c>
    </row>
    <row r="8044" spans="1:4" x14ac:dyDescent="0.25">
      <c r="A8044" t="str">
        <f>T("   871640")</f>
        <v xml:space="preserve">   871640</v>
      </c>
      <c r="B8044"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8044">
        <v>2486192</v>
      </c>
      <c r="D8044">
        <v>10360</v>
      </c>
    </row>
    <row r="8045" spans="1:4" x14ac:dyDescent="0.25">
      <c r="A8045" t="str">
        <f>T("LU")</f>
        <v>LU</v>
      </c>
      <c r="B8045" t="str">
        <f>T("Luxembourg")</f>
        <v>Luxembourg</v>
      </c>
    </row>
    <row r="8046" spans="1:4" x14ac:dyDescent="0.25">
      <c r="A8046" t="str">
        <f>T("   ZZ_Total_Produit_SH6")</f>
        <v xml:space="preserve">   ZZ_Total_Produit_SH6</v>
      </c>
      <c r="B8046" t="str">
        <f>T("   ZZ_Total_Produit_SH6")</f>
        <v xml:space="preserve">   ZZ_Total_Produit_SH6</v>
      </c>
      <c r="C8046">
        <v>435601359</v>
      </c>
      <c r="D8046">
        <v>1357019</v>
      </c>
    </row>
    <row r="8047" spans="1:4" x14ac:dyDescent="0.25">
      <c r="A8047" t="str">
        <f>T("   491110")</f>
        <v xml:space="preserve">   491110</v>
      </c>
      <c r="B8047" t="str">
        <f>T("   Imprimés publicitaires, catalogues commerciaux et simil.")</f>
        <v xml:space="preserve">   Imprimés publicitaires, catalogues commerciaux et simil.</v>
      </c>
      <c r="C8047">
        <v>352251</v>
      </c>
      <c r="D8047">
        <v>100</v>
      </c>
    </row>
    <row r="8048" spans="1:4" x14ac:dyDescent="0.25">
      <c r="A8048" t="str">
        <f>T("   721391")</f>
        <v xml:space="preserve">   721391</v>
      </c>
      <c r="B8048"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8048">
        <v>428601201</v>
      </c>
      <c r="D8048">
        <v>1349100</v>
      </c>
    </row>
    <row r="8049" spans="1:4" x14ac:dyDescent="0.25">
      <c r="A8049" t="str">
        <f>T("   851780")</f>
        <v xml:space="preserve">   851780</v>
      </c>
      <c r="B8049" t="s">
        <v>458</v>
      </c>
      <c r="C8049">
        <v>3229291</v>
      </c>
      <c r="D8049">
        <v>1396</v>
      </c>
    </row>
    <row r="8050" spans="1:4" x14ac:dyDescent="0.25">
      <c r="A8050" t="str">
        <f>T("   851790")</f>
        <v xml:space="preserve">   851790</v>
      </c>
      <c r="B8050" t="s">
        <v>459</v>
      </c>
      <c r="C8050">
        <v>795024</v>
      </c>
      <c r="D8050">
        <v>573</v>
      </c>
    </row>
    <row r="8051" spans="1:4" x14ac:dyDescent="0.25">
      <c r="A8051" t="str">
        <f>T("   870322")</f>
        <v xml:space="preserve">   870322</v>
      </c>
      <c r="B8051" t="s">
        <v>480</v>
      </c>
      <c r="C8051">
        <v>1200000</v>
      </c>
      <c r="D8051">
        <v>850</v>
      </c>
    </row>
    <row r="8052" spans="1:4" x14ac:dyDescent="0.25">
      <c r="A8052" t="str">
        <f>T("   870422")</f>
        <v xml:space="preserve">   870422</v>
      </c>
      <c r="B8052" t="s">
        <v>487</v>
      </c>
      <c r="C8052">
        <v>1423592</v>
      </c>
      <c r="D8052">
        <v>5000</v>
      </c>
    </row>
    <row r="8053" spans="1:4" x14ac:dyDescent="0.25">
      <c r="A8053" t="str">
        <f>T("LV")</f>
        <v>LV</v>
      </c>
      <c r="B8053" t="str">
        <f>T("Lettonie")</f>
        <v>Lettonie</v>
      </c>
    </row>
    <row r="8054" spans="1:4" x14ac:dyDescent="0.25">
      <c r="A8054" t="str">
        <f>T("   ZZ_Total_Produit_SH6")</f>
        <v xml:space="preserve">   ZZ_Total_Produit_SH6</v>
      </c>
      <c r="B8054" t="str">
        <f>T("   ZZ_Total_Produit_SH6")</f>
        <v xml:space="preserve">   ZZ_Total_Produit_SH6</v>
      </c>
      <c r="C8054">
        <v>2438430</v>
      </c>
      <c r="D8054">
        <v>1200</v>
      </c>
    </row>
    <row r="8055" spans="1:4" x14ac:dyDescent="0.25">
      <c r="A8055" t="str">
        <f>T("   870322")</f>
        <v xml:space="preserve">   870322</v>
      </c>
      <c r="B8055" t="s">
        <v>480</v>
      </c>
      <c r="C8055">
        <v>2438430</v>
      </c>
      <c r="D8055">
        <v>1200</v>
      </c>
    </row>
    <row r="8056" spans="1:4" x14ac:dyDescent="0.25">
      <c r="A8056" t="str">
        <f>T("LY")</f>
        <v>LY</v>
      </c>
      <c r="B8056" t="str">
        <f>T("Libyenne, Jamahiriya Arabe")</f>
        <v>Libyenne, Jamahiriya Arabe</v>
      </c>
    </row>
    <row r="8057" spans="1:4" x14ac:dyDescent="0.25">
      <c r="A8057" t="str">
        <f>T("   ZZ_Total_Produit_SH6")</f>
        <v xml:space="preserve">   ZZ_Total_Produit_SH6</v>
      </c>
      <c r="B8057" t="str">
        <f>T("   ZZ_Total_Produit_SH6")</f>
        <v xml:space="preserve">   ZZ_Total_Produit_SH6</v>
      </c>
      <c r="C8057">
        <v>22219200</v>
      </c>
      <c r="D8057">
        <v>28412</v>
      </c>
    </row>
    <row r="8058" spans="1:4" x14ac:dyDescent="0.25">
      <c r="A8058" t="str">
        <f>T("   620590")</f>
        <v xml:space="preserve">   620590</v>
      </c>
      <c r="B8058"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8058">
        <v>1800000</v>
      </c>
      <c r="D8058">
        <v>5612</v>
      </c>
    </row>
    <row r="8059" spans="1:4" x14ac:dyDescent="0.25">
      <c r="A8059" t="str">
        <f>T("   732394")</f>
        <v xml:space="preserve">   732394</v>
      </c>
      <c r="B8059" t="s">
        <v>367</v>
      </c>
      <c r="C8059">
        <v>2700000</v>
      </c>
      <c r="D8059">
        <v>7900</v>
      </c>
    </row>
    <row r="8060" spans="1:4" x14ac:dyDescent="0.25">
      <c r="A8060" t="str">
        <f>T("   870322")</f>
        <v xml:space="preserve">   870322</v>
      </c>
      <c r="B8060" t="s">
        <v>480</v>
      </c>
      <c r="C8060">
        <v>6597216</v>
      </c>
      <c r="D8060">
        <v>1700</v>
      </c>
    </row>
    <row r="8061" spans="1:4" x14ac:dyDescent="0.25">
      <c r="A8061" t="str">
        <f>T("   870323")</f>
        <v xml:space="preserve">   870323</v>
      </c>
      <c r="B8061" t="s">
        <v>481</v>
      </c>
      <c r="C8061">
        <v>7121984</v>
      </c>
      <c r="D8061">
        <v>1700</v>
      </c>
    </row>
    <row r="8062" spans="1:4" x14ac:dyDescent="0.25">
      <c r="A8062" t="str">
        <f>T("   940350")</f>
        <v xml:space="preserve">   940350</v>
      </c>
      <c r="B8062" t="str">
        <f>T("   Meubles pour chambres à coucher, en bois (sauf sièges)")</f>
        <v xml:space="preserve">   Meubles pour chambres à coucher, en bois (sauf sièges)</v>
      </c>
      <c r="C8062">
        <v>4000000</v>
      </c>
      <c r="D8062">
        <v>11500</v>
      </c>
    </row>
    <row r="8063" spans="1:4" x14ac:dyDescent="0.25">
      <c r="A8063" t="str">
        <f>T("MA")</f>
        <v>MA</v>
      </c>
      <c r="B8063" t="str">
        <f>T("Maroc")</f>
        <v>Maroc</v>
      </c>
    </row>
    <row r="8064" spans="1:4" x14ac:dyDescent="0.25">
      <c r="A8064" t="str">
        <f>T("   ZZ_Total_Produit_SH6")</f>
        <v xml:space="preserve">   ZZ_Total_Produit_SH6</v>
      </c>
      <c r="B8064" t="str">
        <f>T("   ZZ_Total_Produit_SH6")</f>
        <v xml:space="preserve">   ZZ_Total_Produit_SH6</v>
      </c>
      <c r="C8064">
        <v>4060944661.2680001</v>
      </c>
      <c r="D8064">
        <v>7778577</v>
      </c>
    </row>
    <row r="8065" spans="1:4" x14ac:dyDescent="0.25">
      <c r="A8065" t="str">
        <f>T("   030329")</f>
        <v xml:space="preserve">   030329</v>
      </c>
      <c r="B8065" t="str">
        <f>T("   Salmonidés, congelés (à l'excl. des saumons du Pacifique, de l'Atlantique et du Danube ainsi que des truites)")</f>
        <v xml:space="preserve">   Salmonidés, congelés (à l'excl. des saumons du Pacifique, de l'Atlantique et du Danube ainsi que des truites)</v>
      </c>
      <c r="C8065">
        <v>58981023</v>
      </c>
      <c r="D8065">
        <v>334275</v>
      </c>
    </row>
    <row r="8066" spans="1:4" x14ac:dyDescent="0.25">
      <c r="A8066" t="str">
        <f>T("   030379")</f>
        <v xml:space="preserve">   030379</v>
      </c>
      <c r="B8066" t="s">
        <v>17</v>
      </c>
      <c r="C8066">
        <v>598872547</v>
      </c>
      <c r="D8066">
        <v>3423543</v>
      </c>
    </row>
    <row r="8067" spans="1:4" x14ac:dyDescent="0.25">
      <c r="A8067" t="str">
        <f>T("   040630")</f>
        <v xml:space="preserve">   040630</v>
      </c>
      <c r="B8067" t="str">
        <f>T("   Fromages fondus (à l'excl. des fromages râpés ou en poudre)")</f>
        <v xml:space="preserve">   Fromages fondus (à l'excl. des fromages râpés ou en poudre)</v>
      </c>
      <c r="C8067">
        <v>3081044</v>
      </c>
      <c r="D8067">
        <v>2864</v>
      </c>
    </row>
    <row r="8068" spans="1:4" x14ac:dyDescent="0.25">
      <c r="A8068" t="str">
        <f>T("   100630")</f>
        <v xml:space="preserve">   100630</v>
      </c>
      <c r="B8068" t="str">
        <f>T("   Riz semi-blanchi ou blanchi, même poli ou glacé")</f>
        <v xml:space="preserve">   Riz semi-blanchi ou blanchi, même poli ou glacé</v>
      </c>
      <c r="C8068">
        <v>169965341.77399999</v>
      </c>
      <c r="D8068">
        <v>645000</v>
      </c>
    </row>
    <row r="8069" spans="1:4" x14ac:dyDescent="0.25">
      <c r="A8069" t="str">
        <f>T("   110100")</f>
        <v xml:space="preserve">   110100</v>
      </c>
      <c r="B8069" t="str">
        <f>T("   Farines de froment [blé] ou de méteil")</f>
        <v xml:space="preserve">   Farines de froment [blé] ou de méteil</v>
      </c>
      <c r="C8069">
        <v>250936905.17699999</v>
      </c>
      <c r="D8069">
        <v>885500</v>
      </c>
    </row>
    <row r="8070" spans="1:4" x14ac:dyDescent="0.25">
      <c r="A8070" t="str">
        <f>T("   151190")</f>
        <v xml:space="preserve">   151190</v>
      </c>
      <c r="B8070" t="str">
        <f>T("   Huile de palme et ses fractions, même raffinées, mais non chimiquement modifiées (à l'excl. de l'huile de palme brute)")</f>
        <v xml:space="preserve">   Huile de palme et ses fractions, même raffinées, mais non chimiquement modifiées (à l'excl. de l'huile de palme brute)</v>
      </c>
      <c r="C8070">
        <v>33134121.318</v>
      </c>
      <c r="D8070">
        <v>110000</v>
      </c>
    </row>
    <row r="8071" spans="1:4" x14ac:dyDescent="0.25">
      <c r="A8071" t="str">
        <f>T("   151620")</f>
        <v xml:space="preserve">   151620</v>
      </c>
      <c r="B8071"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8071">
        <v>17600000</v>
      </c>
      <c r="D8071">
        <v>88000</v>
      </c>
    </row>
    <row r="8072" spans="1:4" x14ac:dyDescent="0.25">
      <c r="A8072" t="str">
        <f>T("   151710")</f>
        <v xml:space="preserve">   151710</v>
      </c>
      <c r="B8072" t="str">
        <f>T("   Margarine (à l'excl. de la margarine liquide)")</f>
        <v xml:space="preserve">   Margarine (à l'excl. de la margarine liquide)</v>
      </c>
      <c r="C8072">
        <v>20687010</v>
      </c>
      <c r="D8072">
        <v>38795</v>
      </c>
    </row>
    <row r="8073" spans="1:4" x14ac:dyDescent="0.25">
      <c r="A8073" t="str">
        <f>T("   160413")</f>
        <v xml:space="preserve">   160413</v>
      </c>
      <c r="B8073" t="str">
        <f>T("   Préparations et conserves de sardines, sardinelles, sprats ou esprots, entiers ou en morceaux (à l'excl. des préparations et conserves de poissons hachés)")</f>
        <v xml:space="preserve">   Préparations et conserves de sardines, sardinelles, sprats ou esprots, entiers ou en morceaux (à l'excl. des préparations et conserves de poissons hachés)</v>
      </c>
      <c r="C8073">
        <v>5500000</v>
      </c>
      <c r="D8073">
        <v>47680</v>
      </c>
    </row>
    <row r="8074" spans="1:4" x14ac:dyDescent="0.25">
      <c r="A8074" t="str">
        <f>T("   160420")</f>
        <v xml:space="preserve">   160420</v>
      </c>
      <c r="B8074" t="str">
        <f>T("   Préparations et conserves de poissons (à l'excl. des préparations et conserves de poissons entiers ou en morceaux)")</f>
        <v xml:space="preserve">   Préparations et conserves de poissons (à l'excl. des préparations et conserves de poissons entiers ou en morceaux)</v>
      </c>
      <c r="C8074">
        <v>6555000</v>
      </c>
      <c r="D8074">
        <v>55250</v>
      </c>
    </row>
    <row r="8075" spans="1:4" x14ac:dyDescent="0.25">
      <c r="A8075" t="str">
        <f>T("   210220")</f>
        <v xml:space="preserve">   210220</v>
      </c>
      <c r="B8075" t="str">
        <f>T("   Levures mortes; autres micro-organismes monocellulaires morts (à l'excl. des micro-organismes monocellulaires conditionnés comme médicaments)")</f>
        <v xml:space="preserve">   Levures mortes; autres micro-organismes monocellulaires morts (à l'excl. des micro-organismes monocellulaires conditionnés comme médicaments)</v>
      </c>
      <c r="C8075">
        <v>24725100</v>
      </c>
      <c r="D8075">
        <v>16350</v>
      </c>
    </row>
    <row r="8076" spans="1:4" x14ac:dyDescent="0.25">
      <c r="A8076" t="str">
        <f>T("   271019")</f>
        <v xml:space="preserve">   271019</v>
      </c>
      <c r="B8076" t="str">
        <f>T("   Huiles moyennes et préparations, de pétrole ou de minéraux bitumineux, n.d.a.")</f>
        <v xml:space="preserve">   Huiles moyennes et préparations, de pétrole ou de minéraux bitumineux, n.d.a.</v>
      </c>
      <c r="C8076">
        <v>3291607</v>
      </c>
      <c r="D8076">
        <v>4526</v>
      </c>
    </row>
    <row r="8077" spans="1:4" x14ac:dyDescent="0.25">
      <c r="A8077" t="str">
        <f>T("   300490")</f>
        <v xml:space="preserve">   300490</v>
      </c>
      <c r="B8077" t="s">
        <v>80</v>
      </c>
      <c r="C8077">
        <v>92710690</v>
      </c>
      <c r="D8077">
        <v>3972</v>
      </c>
    </row>
    <row r="8078" spans="1:4" x14ac:dyDescent="0.25">
      <c r="A8078" t="str">
        <f>T("   330119")</f>
        <v xml:space="preserve">   330119</v>
      </c>
      <c r="B8078" t="str">
        <f>T("   HUILES ESSENTIELLES D'AGRUMES, DÉTERPÉNÉES OU NON, Y.C. CELLES DITES 'CONCRÈTES' OU 'ABSOLUES' (À L'EXCL. DES HUILES ESSENTIELLES D'ORANGE, DE CITRONOU DE LIME)")</f>
        <v xml:space="preserve">   HUILES ESSENTIELLES D'AGRUMES, DÉTERPÉNÉES OU NON, Y.C. CELLES DITES 'CONCRÈTES' OU 'ABSOLUES' (À L'EXCL. DES HUILES ESSENTIELLES D'ORANGE, DE CITRONOU DE LIME)</v>
      </c>
      <c r="C8078">
        <v>300000</v>
      </c>
      <c r="D8078">
        <v>276</v>
      </c>
    </row>
    <row r="8079" spans="1:4" x14ac:dyDescent="0.25">
      <c r="A8079" t="str">
        <f>T("   330499")</f>
        <v xml:space="preserve">   330499</v>
      </c>
      <c r="B8079" t="s">
        <v>101</v>
      </c>
      <c r="C8079">
        <v>1549377</v>
      </c>
      <c r="D8079">
        <v>423</v>
      </c>
    </row>
    <row r="8080" spans="1:4" x14ac:dyDescent="0.25">
      <c r="A8080" t="str">
        <f>T("   330510")</f>
        <v xml:space="preserve">   330510</v>
      </c>
      <c r="B8080" t="str">
        <f>T("   Shampooings")</f>
        <v xml:space="preserve">   Shampooings</v>
      </c>
      <c r="C8080">
        <v>1488373</v>
      </c>
      <c r="D8080">
        <v>425</v>
      </c>
    </row>
    <row r="8081" spans="1:4" x14ac:dyDescent="0.25">
      <c r="A8081" t="str">
        <f>T("   340111")</f>
        <v xml:space="preserve">   340111</v>
      </c>
      <c r="B8081" t="s">
        <v>102</v>
      </c>
      <c r="C8081">
        <v>1783555</v>
      </c>
      <c r="D8081">
        <v>739</v>
      </c>
    </row>
    <row r="8082" spans="1:4" x14ac:dyDescent="0.25">
      <c r="A8082" t="str">
        <f>T("   340120")</f>
        <v xml:space="preserve">   340120</v>
      </c>
      <c r="B8082" t="str">
        <f>T("   Savons en flocons, en paillettes, en granulés ou en poudres et savons liquides ou pâteux")</f>
        <v xml:space="preserve">   Savons en flocons, en paillettes, en granulés ou en poudres et savons liquides ou pâteux</v>
      </c>
      <c r="C8082">
        <v>1489685</v>
      </c>
      <c r="D8082">
        <v>425</v>
      </c>
    </row>
    <row r="8083" spans="1:4" x14ac:dyDescent="0.25">
      <c r="A8083" t="str">
        <f>T("   391731")</f>
        <v xml:space="preserve">   391731</v>
      </c>
      <c r="B8083" t="str">
        <f>T("   Tubes et tuyaux souples, en matières plastiques, pouvant supporter une pression &gt;= 27,6 MPa, même munis d'accessoires")</f>
        <v xml:space="preserve">   Tubes et tuyaux souples, en matières plastiques, pouvant supporter une pression &gt;= 27,6 MPa, même munis d'accessoires</v>
      </c>
      <c r="C8083">
        <v>1805000</v>
      </c>
      <c r="D8083">
        <v>1752</v>
      </c>
    </row>
    <row r="8084" spans="1:4" x14ac:dyDescent="0.25">
      <c r="A8084" t="str">
        <f>T("   392590")</f>
        <v xml:space="preserve">   392590</v>
      </c>
      <c r="B8084" t="s">
        <v>152</v>
      </c>
      <c r="C8084">
        <v>962294</v>
      </c>
      <c r="D8084">
        <v>1176</v>
      </c>
    </row>
    <row r="8085" spans="1:4" x14ac:dyDescent="0.25">
      <c r="A8085" t="str">
        <f>T("   392690")</f>
        <v xml:space="preserve">   392690</v>
      </c>
      <c r="B8085" t="str">
        <f>T("   Ouvrages en matières plastiques et ouvrages en autres matières du n° 3901 à 3914, n.d.a.")</f>
        <v xml:space="preserve">   Ouvrages en matières plastiques et ouvrages en autres matières du n° 3901 à 3914, n.d.a.</v>
      </c>
      <c r="C8085">
        <v>1737172</v>
      </c>
      <c r="D8085">
        <v>1060</v>
      </c>
    </row>
    <row r="8086" spans="1:4" x14ac:dyDescent="0.25">
      <c r="A8086" t="str">
        <f>T("   401410")</f>
        <v xml:space="preserve">   401410</v>
      </c>
      <c r="B8086" t="str">
        <f>T("   Préservatifs en caoutchouc vulcanisé non durci")</f>
        <v xml:space="preserve">   Préservatifs en caoutchouc vulcanisé non durci</v>
      </c>
      <c r="C8086">
        <v>5779530</v>
      </c>
      <c r="D8086">
        <v>175</v>
      </c>
    </row>
    <row r="8087" spans="1:4" x14ac:dyDescent="0.25">
      <c r="A8087" t="str">
        <f>T("   420329")</f>
        <v xml:space="preserve">   420329</v>
      </c>
      <c r="B8087" t="str">
        <f>T("   Gants, mitaines et moufles, en cuir naturel ou reconstitué (à l'excl. des articles spécialement conçus pour la pratique des sports)")</f>
        <v xml:space="preserve">   Gants, mitaines et moufles, en cuir naturel ou reconstitué (à l'excl. des articles spécialement conçus pour la pratique des sports)</v>
      </c>
      <c r="C8087">
        <v>1138000</v>
      </c>
      <c r="D8087">
        <v>372</v>
      </c>
    </row>
    <row r="8088" spans="1:4" x14ac:dyDescent="0.25">
      <c r="A8088" t="str">
        <f>T("   481930")</f>
        <v xml:space="preserve">   481930</v>
      </c>
      <c r="B8088" t="str">
        <f>T("   Sacs, en papier, carton, ouate de cellulose ou nappes de fibres de cellulose, d'une largeur à la base &gt;= 40 cm")</f>
        <v xml:space="preserve">   Sacs, en papier, carton, ouate de cellulose ou nappes de fibres de cellulose, d'une largeur à la base &gt;= 40 cm</v>
      </c>
      <c r="C8088">
        <v>528646694</v>
      </c>
      <c r="D8088">
        <v>870012</v>
      </c>
    </row>
    <row r="8089" spans="1:4" x14ac:dyDescent="0.25">
      <c r="A8089" t="str">
        <f>T("   481940")</f>
        <v xml:space="preserve">   481940</v>
      </c>
      <c r="B8089" t="str">
        <f>T("   Sacs, sachets, pochettes et cornets, en papier, carton, ouate de cellulose ou nappes de fibres de cellulose (à l'excl. des pochettes pour disques et des sacs d'une largeur à la base &gt;= 40 cm)")</f>
        <v xml:space="preserve">   Sacs, sachets, pochettes et cornets, en papier, carton, ouate de cellulose ou nappes de fibres de cellulose (à l'excl. des pochettes pour disques et des sacs d'une largeur à la base &gt;= 40 cm)</v>
      </c>
      <c r="C8089">
        <v>44540969</v>
      </c>
      <c r="D8089">
        <v>65732</v>
      </c>
    </row>
    <row r="8090" spans="1:4" x14ac:dyDescent="0.25">
      <c r="A8090" t="str">
        <f>T("   491110")</f>
        <v xml:space="preserve">   491110</v>
      </c>
      <c r="B8090" t="str">
        <f>T("   Imprimés publicitaires, catalogues commerciaux et simil.")</f>
        <v xml:space="preserve">   Imprimés publicitaires, catalogues commerciaux et simil.</v>
      </c>
      <c r="C8090">
        <v>65596</v>
      </c>
      <c r="D8090">
        <v>334</v>
      </c>
    </row>
    <row r="8091" spans="1:4" x14ac:dyDescent="0.25">
      <c r="A8091" t="str">
        <f>T("   611490")</f>
        <v xml:space="preserve">   611490</v>
      </c>
      <c r="B8091" t="str">
        <f>T("   Vêtements spéciaux destinés à des fins professionnelles, sportives ou autres n.d.a., en bonneterie, de matières textiles (sauf de laine, poils fins, coton, fibres synthétiques ou artificielles)")</f>
        <v xml:space="preserve">   Vêtements spéciaux destinés à des fins professionnelles, sportives ou autres n.d.a., en bonneterie, de matières textiles (sauf de laine, poils fins, coton, fibres synthétiques ou artificielles)</v>
      </c>
      <c r="C8091">
        <v>25408611</v>
      </c>
      <c r="D8091">
        <v>2300</v>
      </c>
    </row>
    <row r="8092" spans="1:4" x14ac:dyDescent="0.25">
      <c r="A8092" t="str">
        <f>T("   630900")</f>
        <v xml:space="preserve">   630900</v>
      </c>
      <c r="B8092" t="s">
        <v>278</v>
      </c>
      <c r="C8092">
        <v>32753967</v>
      </c>
      <c r="D8092">
        <v>71196</v>
      </c>
    </row>
    <row r="8093" spans="1:4" x14ac:dyDescent="0.25">
      <c r="A8093" t="str">
        <f>T("   640330")</f>
        <v xml:space="preserve">   640330</v>
      </c>
      <c r="B8093" t="str">
        <f>T("   Chaussures à dessus en cuir naturel, à semelles principales en bois (sans semelles intérieures et sans coquille de protection de métal à l'avant)")</f>
        <v xml:space="preserve">   Chaussures à dessus en cuir naturel, à semelles principales en bois (sans semelles intérieures et sans coquille de protection de métal à l'avant)</v>
      </c>
      <c r="C8093">
        <v>80000</v>
      </c>
      <c r="D8093">
        <v>78</v>
      </c>
    </row>
    <row r="8094" spans="1:4" x14ac:dyDescent="0.25">
      <c r="A8094" t="str">
        <f>T("   640590")</f>
        <v xml:space="preserve">   640590</v>
      </c>
      <c r="B8094" t="s">
        <v>289</v>
      </c>
      <c r="C8094">
        <v>4805800</v>
      </c>
      <c r="D8094">
        <v>3030</v>
      </c>
    </row>
    <row r="8095" spans="1:4" x14ac:dyDescent="0.25">
      <c r="A8095" t="str">
        <f>T("   720990")</f>
        <v xml:space="preserve">   720990</v>
      </c>
      <c r="B8095" t="str">
        <f>T("   PRODUITS LAMINÉS PLATS, EN FER OU EN ACIER, D'UNE LARGEUR &gt;= 600 MM, LAMINÉS À FROID ET AYANT SUBI CERTAINES OUVRAISONS PLUS POUSSÉES, MAIS NON-PLAQUÉS NI REVÊTUS")</f>
        <v xml:space="preserve">   PRODUITS LAMINÉS PLATS, EN FER OU EN ACIER, D'UNE LARGEUR &gt;= 600 MM, LAMINÉS À FROID ET AYANT SUBI CERTAINES OUVRAISONS PLUS POUSSÉES, MAIS NON-PLAQUÉS NI REVÊTUS</v>
      </c>
      <c r="C8095">
        <v>1664171</v>
      </c>
      <c r="D8095">
        <v>1312</v>
      </c>
    </row>
    <row r="8096" spans="1:4" x14ac:dyDescent="0.25">
      <c r="A8096" t="str">
        <f>T("   730840")</f>
        <v xml:space="preserve">   730840</v>
      </c>
      <c r="B8096" t="str">
        <f>T("   Matériel d'échafaudage, de coffrage ou d'étayage, en fer ou en acier (autre que palplanches assemblées et coffrages pour béton, qui présentent les caractéristiques de moules)")</f>
        <v xml:space="preserve">   Matériel d'échafaudage, de coffrage ou d'étayage, en fer ou en acier (autre que palplanches assemblées et coffrages pour béton, qui présentent les caractéristiques de moules)</v>
      </c>
      <c r="C8096">
        <v>44955974</v>
      </c>
      <c r="D8096">
        <v>23600</v>
      </c>
    </row>
    <row r="8097" spans="1:4" x14ac:dyDescent="0.25">
      <c r="A8097" t="str">
        <f>T("   730890")</f>
        <v xml:space="preserve">   730890</v>
      </c>
      <c r="B8097" t="s">
        <v>355</v>
      </c>
      <c r="C8097">
        <v>125991438</v>
      </c>
      <c r="D8097">
        <v>61730</v>
      </c>
    </row>
    <row r="8098" spans="1:4" x14ac:dyDescent="0.25">
      <c r="A8098" t="str">
        <f>T("   732394")</f>
        <v xml:space="preserve">   732394</v>
      </c>
      <c r="B8098" t="s">
        <v>367</v>
      </c>
      <c r="C8098">
        <v>7279188</v>
      </c>
      <c r="D8098">
        <v>1000</v>
      </c>
    </row>
    <row r="8099" spans="1:4" x14ac:dyDescent="0.25">
      <c r="A8099" t="str">
        <f>T("   732690")</f>
        <v xml:space="preserve">   732690</v>
      </c>
      <c r="B8099"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8099">
        <v>29505</v>
      </c>
      <c r="D8099">
        <v>14</v>
      </c>
    </row>
    <row r="8100" spans="1:4" x14ac:dyDescent="0.25">
      <c r="A8100" t="str">
        <f>T("   740829")</f>
        <v xml:space="preserve">   740829</v>
      </c>
      <c r="B8100" t="s">
        <v>370</v>
      </c>
      <c r="C8100">
        <v>13084231</v>
      </c>
      <c r="D8100">
        <v>4320</v>
      </c>
    </row>
    <row r="8101" spans="1:4" x14ac:dyDescent="0.25">
      <c r="A8101" t="str">
        <f>T("   741129")</f>
        <v xml:space="preserve">   741129</v>
      </c>
      <c r="B8101" t="str">
        <f>T("   Tubes et tuyaux en alliages de cuivre (sauf en alliages à base de cuivre-zinc -laiton-, de cuivre-nickel -cupronickel-, ou de cuivre-nickel-zinc -maillechort-)")</f>
        <v xml:space="preserve">   Tubes et tuyaux en alliages de cuivre (sauf en alliages à base de cuivre-zinc -laiton-, de cuivre-nickel -cupronickel-, ou de cuivre-nickel-zinc -maillechort-)</v>
      </c>
      <c r="C8101">
        <v>455000</v>
      </c>
      <c r="D8101">
        <v>599</v>
      </c>
    </row>
    <row r="8102" spans="1:4" x14ac:dyDescent="0.25">
      <c r="A8102" t="str">
        <f>T("   760692")</f>
        <v xml:space="preserve">   760692</v>
      </c>
      <c r="B8102" t="str">
        <f>T("   Tôles et bandes en alliages d'aluminium, d'une épaisseur &gt; 0,2 mm, de forme autre que carrée ou rectangulaire")</f>
        <v xml:space="preserve">   Tôles et bandes en alliages d'aluminium, d'une épaisseur &gt; 0,2 mm, de forme autre que carrée ou rectangulaire</v>
      </c>
      <c r="C8102">
        <v>1325695</v>
      </c>
      <c r="D8102">
        <v>884</v>
      </c>
    </row>
    <row r="8103" spans="1:4" x14ac:dyDescent="0.25">
      <c r="A8103" t="str">
        <f>T("   761090")</f>
        <v xml:space="preserve">   761090</v>
      </c>
      <c r="B8103" t="str">
        <f>T("   Constructions et parties de constructions, en aluminium, n.d.a., ainsi que tôles, barres, profilés, tubes, tuyaux et simil., en aluminium, n.d.a; (sauf constructions préfabriquées du n° 9406, portes, fenêtres et leurs cadres, chambranles et seuils)")</f>
        <v xml:space="preserve">   Constructions et parties de constructions, en aluminium, n.d.a., ainsi que tôles, barres, profilés, tubes, tuyaux et simil., en aluminium, n.d.a; (sauf constructions préfabriquées du n° 9406, portes, fenêtres et leurs cadres, chambranles et seuils)</v>
      </c>
      <c r="C8103">
        <v>5405000</v>
      </c>
      <c r="D8103">
        <v>10100</v>
      </c>
    </row>
    <row r="8104" spans="1:4" x14ac:dyDescent="0.25">
      <c r="A8104" t="str">
        <f>T("   820590")</f>
        <v xml:space="preserve">   820590</v>
      </c>
      <c r="B8104" t="str">
        <f>T("   Assortiments d'outils d'au moins deux des sous-positions du n° 8205")</f>
        <v xml:space="preserve">   Assortiments d'outils d'au moins deux des sous-positions du n° 8205</v>
      </c>
      <c r="C8104">
        <v>4647000</v>
      </c>
      <c r="D8104">
        <v>3000</v>
      </c>
    </row>
    <row r="8105" spans="1:4" x14ac:dyDescent="0.25">
      <c r="A8105" t="str">
        <f>T("   842389")</f>
        <v xml:space="preserve">   842389</v>
      </c>
      <c r="B8105" t="str">
        <f>T("   Appareils et instruments de pesage, portée &gt; 5000 kg")</f>
        <v xml:space="preserve">   Appareils et instruments de pesage, portée &gt; 5000 kg</v>
      </c>
      <c r="C8105">
        <v>7092945</v>
      </c>
      <c r="D8105">
        <v>80</v>
      </c>
    </row>
    <row r="8106" spans="1:4" x14ac:dyDescent="0.25">
      <c r="A8106" t="str">
        <f>T("   842649")</f>
        <v xml:space="preserve">   842649</v>
      </c>
      <c r="B8106" t="str">
        <f>T("   Bigues et chariots-grues et appareils autopropulsés (autres que sur pneumatiques et sauf chariots-cavaliers)")</f>
        <v xml:space="preserve">   Bigues et chariots-grues et appareils autopropulsés (autres que sur pneumatiques et sauf chariots-cavaliers)</v>
      </c>
      <c r="C8106">
        <v>317588282</v>
      </c>
      <c r="D8106">
        <v>333824</v>
      </c>
    </row>
    <row r="8107" spans="1:4" x14ac:dyDescent="0.25">
      <c r="A8107" t="str">
        <f>T("   843120")</f>
        <v xml:space="preserve">   843120</v>
      </c>
      <c r="B8107" t="str">
        <f>T("   Parties de chariots-gerbeurs et autres chariots de manutention munis d'un dispositif de levage, n.d.a.")</f>
        <v xml:space="preserve">   Parties de chariots-gerbeurs et autres chariots de manutention munis d'un dispositif de levage, n.d.a.</v>
      </c>
      <c r="C8107">
        <v>1739606</v>
      </c>
      <c r="D8107">
        <v>130</v>
      </c>
    </row>
    <row r="8108" spans="1:4" x14ac:dyDescent="0.25">
      <c r="A8108" t="str">
        <f>T("   843139")</f>
        <v xml:space="preserve">   843139</v>
      </c>
      <c r="B8108" t="str">
        <f>T("   Parties de machines et appareils du n° 8428, n.d.a.")</f>
        <v xml:space="preserve">   Parties de machines et appareils du n° 8428, n.d.a.</v>
      </c>
      <c r="C8108">
        <v>242968</v>
      </c>
      <c r="D8108">
        <v>4</v>
      </c>
    </row>
    <row r="8109" spans="1:4" x14ac:dyDescent="0.25">
      <c r="A8109" t="str">
        <f>T("   843141")</f>
        <v xml:space="preserve">   843141</v>
      </c>
      <c r="B8109" t="str">
        <f>T("   Godets, bennes, bennes-preneuses, pelles, grappins et pinces pour machines et appareils du n° 8426, 8429 ou 8430")</f>
        <v xml:space="preserve">   Godets, bennes, bennes-preneuses, pelles, grappins et pinces pour machines et appareils du n° 8426, 8429 ou 8430</v>
      </c>
      <c r="C8109">
        <v>2099526</v>
      </c>
      <c r="D8109">
        <v>3400</v>
      </c>
    </row>
    <row r="8110" spans="1:4" x14ac:dyDescent="0.25">
      <c r="A8110" t="str">
        <f>T("   843143")</f>
        <v xml:space="preserve">   843143</v>
      </c>
      <c r="B8110" t="str">
        <f>T("   Parties de machines de sondage ou de forage du n° 8430.41 ou 8430.49, n.d.a.")</f>
        <v xml:space="preserve">   Parties de machines de sondage ou de forage du n° 8430.41 ou 8430.49, n.d.a.</v>
      </c>
      <c r="C8110">
        <v>10194930</v>
      </c>
      <c r="D8110">
        <v>4160</v>
      </c>
    </row>
    <row r="8111" spans="1:4" x14ac:dyDescent="0.25">
      <c r="A8111" t="str">
        <f>T("   847290")</f>
        <v xml:space="preserve">   847290</v>
      </c>
      <c r="B8111" t="str">
        <f>T("   Machines et appareils de bureau, n.d.a.")</f>
        <v xml:space="preserve">   Machines et appareils de bureau, n.d.a.</v>
      </c>
      <c r="C8111">
        <v>259817540</v>
      </c>
      <c r="D8111">
        <v>23892</v>
      </c>
    </row>
    <row r="8112" spans="1:4" x14ac:dyDescent="0.25">
      <c r="A8112" t="str">
        <f>T("   848180")</f>
        <v xml:space="preserve">   848180</v>
      </c>
      <c r="B8112"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8112">
        <v>500441</v>
      </c>
      <c r="D8112">
        <v>1095</v>
      </c>
    </row>
    <row r="8113" spans="1:4" x14ac:dyDescent="0.25">
      <c r="A8113" t="str">
        <f>T("   850421")</f>
        <v xml:space="preserve">   850421</v>
      </c>
      <c r="B8113" t="str">
        <f>T("   Transformateurs à diélectrique liquide, puissance &lt;= 650 kVA")</f>
        <v xml:space="preserve">   Transformateurs à diélectrique liquide, puissance &lt;= 650 kVA</v>
      </c>
      <c r="C8113">
        <v>341661828</v>
      </c>
      <c r="D8113">
        <v>133850</v>
      </c>
    </row>
    <row r="8114" spans="1:4" x14ac:dyDescent="0.25">
      <c r="A8114" t="str">
        <f>T("   850432")</f>
        <v xml:space="preserve">   850432</v>
      </c>
      <c r="B8114" t="str">
        <f>T("   Transformateurs à sec, puissance &gt; 1 kVA mais &lt;= 16 kVA")</f>
        <v xml:space="preserve">   Transformateurs à sec, puissance &gt; 1 kVA mais &lt;= 16 kVA</v>
      </c>
      <c r="C8114">
        <v>7592737</v>
      </c>
      <c r="D8114">
        <v>5825</v>
      </c>
    </row>
    <row r="8115" spans="1:4" x14ac:dyDescent="0.25">
      <c r="A8115" t="str">
        <f>T("   850433")</f>
        <v xml:space="preserve">   850433</v>
      </c>
      <c r="B8115" t="str">
        <f>T("   Transformateurs à sec, puissance &gt; 16 kVA mais &lt;= 500 kVA")</f>
        <v xml:space="preserve">   Transformateurs à sec, puissance &gt; 16 kVA mais &lt;= 500 kVA</v>
      </c>
      <c r="C8115">
        <v>11793616</v>
      </c>
      <c r="D8115">
        <v>14000</v>
      </c>
    </row>
    <row r="8116" spans="1:4" x14ac:dyDescent="0.25">
      <c r="A8116" t="str">
        <f>T("   851539")</f>
        <v xml:space="preserve">   851539</v>
      </c>
      <c r="B8116" t="str">
        <f>T("   MACHINES ET APPAREILS POUR LE SOUDAGE DES MÉTAUX À L'ARC OU AU JET DE PLASMA, NON-AUTOMATIQUES")</f>
        <v xml:space="preserve">   MACHINES ET APPAREILS POUR LE SOUDAGE DES MÉTAUX À L'ARC OU AU JET DE PLASMA, NON-AUTOMATIQUES</v>
      </c>
      <c r="C8116">
        <v>1965060</v>
      </c>
      <c r="D8116">
        <v>640</v>
      </c>
    </row>
    <row r="8117" spans="1:4" x14ac:dyDescent="0.25">
      <c r="A8117" t="str">
        <f>T("   851780")</f>
        <v xml:space="preserve">   851780</v>
      </c>
      <c r="B8117" t="s">
        <v>458</v>
      </c>
      <c r="C8117">
        <v>221715</v>
      </c>
      <c r="D8117">
        <v>272</v>
      </c>
    </row>
    <row r="8118" spans="1:4" x14ac:dyDescent="0.25">
      <c r="A8118" t="str">
        <f>T("   853110")</f>
        <v xml:space="preserve">   853110</v>
      </c>
      <c r="B8118" t="str">
        <f>T("   Avertisseurs électriques pour la protection contre le vol ou l'incendie et appareils simil.")</f>
        <v xml:space="preserve">   Avertisseurs électriques pour la protection contre le vol ou l'incendie et appareils simil.</v>
      </c>
      <c r="C8118">
        <v>141031</v>
      </c>
      <c r="D8118">
        <v>169</v>
      </c>
    </row>
    <row r="8119" spans="1:4" x14ac:dyDescent="0.25">
      <c r="A8119" t="str">
        <f>T("   853530")</f>
        <v xml:space="preserve">   853530</v>
      </c>
      <c r="B8119" t="str">
        <f>T("   Sectionneurs et interrupteurs, pour une tension &gt; 1.000 V")</f>
        <v xml:space="preserve">   Sectionneurs et interrupteurs, pour une tension &gt; 1.000 V</v>
      </c>
      <c r="C8119">
        <v>43643168</v>
      </c>
      <c r="D8119">
        <v>8852</v>
      </c>
    </row>
    <row r="8120" spans="1:4" x14ac:dyDescent="0.25">
      <c r="A8120" t="str">
        <f>T("   853540")</f>
        <v xml:space="preserve">   853540</v>
      </c>
      <c r="B8120" t="str">
        <f>T("   Parafoudres, limiteurs de tension et étaleurs d'ondes, pour une tension &gt; 1.000 V")</f>
        <v xml:space="preserve">   Parafoudres, limiteurs de tension et étaleurs d'ondes, pour une tension &gt; 1.000 V</v>
      </c>
      <c r="C8120">
        <v>1517235</v>
      </c>
      <c r="D8120">
        <v>100</v>
      </c>
    </row>
    <row r="8121" spans="1:4" x14ac:dyDescent="0.25">
      <c r="A8121" t="str">
        <f>T("   853620")</f>
        <v xml:space="preserve">   853620</v>
      </c>
      <c r="B8121" t="str">
        <f>T("   Disjoncteurs, pour une tension &lt;= 1.000 V")</f>
        <v xml:space="preserve">   Disjoncteurs, pour une tension &lt;= 1.000 V</v>
      </c>
      <c r="C8121">
        <v>866523</v>
      </c>
      <c r="D8121">
        <v>1058</v>
      </c>
    </row>
    <row r="8122" spans="1:4" x14ac:dyDescent="0.25">
      <c r="A8122" t="str">
        <f>T("   853650")</f>
        <v xml:space="preserve">   853650</v>
      </c>
      <c r="B8122" t="str">
        <f>T("   Interrupteurs, sectionneurs et commutateurs, pour une tension &lt;= 1.000 V (autres que relais et disjoncteurs)")</f>
        <v xml:space="preserve">   Interrupteurs, sectionneurs et commutateurs, pour une tension &lt;= 1.000 V (autres que relais et disjoncteurs)</v>
      </c>
      <c r="C8122">
        <v>705157</v>
      </c>
      <c r="D8122">
        <v>860</v>
      </c>
    </row>
    <row r="8123" spans="1:4" x14ac:dyDescent="0.25">
      <c r="A8123" t="str">
        <f>T("   853669")</f>
        <v xml:space="preserve">   853669</v>
      </c>
      <c r="B8123" t="str">
        <f>T("   Fiches et prises de courant, pour une tension &lt;= 1.000 V (sauf douilles pour lampes)")</f>
        <v xml:space="preserve">   Fiches et prises de courant, pour une tension &lt;= 1.000 V (sauf douilles pour lampes)</v>
      </c>
      <c r="C8123">
        <v>22336861</v>
      </c>
      <c r="D8123">
        <v>60285</v>
      </c>
    </row>
    <row r="8124" spans="1:4" x14ac:dyDescent="0.25">
      <c r="A8124" t="str">
        <f>T("   853690")</f>
        <v xml:space="preserve">   853690</v>
      </c>
      <c r="B8124" t="s">
        <v>474</v>
      </c>
      <c r="C8124">
        <v>31096767</v>
      </c>
      <c r="D8124">
        <v>43789</v>
      </c>
    </row>
    <row r="8125" spans="1:4" x14ac:dyDescent="0.25">
      <c r="A8125" t="str">
        <f>T("   853810")</f>
        <v xml:space="preserve">   853810</v>
      </c>
      <c r="B8125" t="str">
        <f>T("   Tableaux, panneaux, consoles, pupitres, armoires et autres supports pour articles du n° 8537, dépourvus de leurs appareils")</f>
        <v xml:space="preserve">   Tableaux, panneaux, consoles, pupitres, armoires et autres supports pour articles du n° 8537, dépourvus de leurs appareils</v>
      </c>
      <c r="C8125">
        <v>3428703</v>
      </c>
      <c r="D8125">
        <v>4190</v>
      </c>
    </row>
    <row r="8126" spans="1:4" x14ac:dyDescent="0.25">
      <c r="A8126" t="str">
        <f>T("   853890")</f>
        <v xml:space="preserve">   853890</v>
      </c>
      <c r="B8126" t="s">
        <v>475</v>
      </c>
      <c r="C8126">
        <v>798311</v>
      </c>
      <c r="D8126">
        <v>454</v>
      </c>
    </row>
    <row r="8127" spans="1:4" x14ac:dyDescent="0.25">
      <c r="A8127" t="str">
        <f>T("   853939")</f>
        <v xml:space="preserve">   853939</v>
      </c>
      <c r="B8127" t="str">
        <f>T("   Lampes et tubes à décharge (autres que fluorescents, à cathode chaude, à vapeur de mercure ou de sodium, à halogénure métallique et qu'à rayons ultraviolets)")</f>
        <v xml:space="preserve">   Lampes et tubes à décharge (autres que fluorescents, à cathode chaude, à vapeur de mercure ou de sodium, à halogénure métallique et qu'à rayons ultraviolets)</v>
      </c>
      <c r="C8127">
        <v>1419975</v>
      </c>
      <c r="D8127">
        <v>167</v>
      </c>
    </row>
    <row r="8128" spans="1:4" x14ac:dyDescent="0.25">
      <c r="A8128" t="str">
        <f>T("   854441")</f>
        <v xml:space="preserve">   854441</v>
      </c>
      <c r="B8128" t="str">
        <f>T("   Conducteurs électriques, pour tension &lt;= 80 V, isolés, avec pièces de connexion, n.d.a.")</f>
        <v xml:space="preserve">   Conducteurs électriques, pour tension &lt;= 80 V, isolés, avec pièces de connexion, n.d.a.</v>
      </c>
      <c r="C8128">
        <v>144764</v>
      </c>
      <c r="D8128">
        <v>115</v>
      </c>
    </row>
    <row r="8129" spans="1:4" x14ac:dyDescent="0.25">
      <c r="A8129" t="str">
        <f>T("   854449")</f>
        <v xml:space="preserve">   854449</v>
      </c>
      <c r="B8129" t="str">
        <f>T("   CONDUCTEURS ÉLECTRIQUES, POUR TENSION &lt;= 1.000 V, ISOLÉS, SANS PIÈCES DE CONNEXION, N.D.A.")</f>
        <v xml:space="preserve">   CONDUCTEURS ÉLECTRIQUES, POUR TENSION &lt;= 1.000 V, ISOLÉS, SANS PIÈCES DE CONNEXION, N.D.A.</v>
      </c>
      <c r="C8129">
        <v>625080797</v>
      </c>
      <c r="D8129">
        <v>306910</v>
      </c>
    </row>
    <row r="8130" spans="1:4" x14ac:dyDescent="0.25">
      <c r="A8130" t="str">
        <f>T("   854451")</f>
        <v xml:space="preserve">   854451</v>
      </c>
      <c r="B8130" t="str">
        <f>T("   Conducteurs électriques, pour tension &gt; 80 V mais &lt;= 1.000 V, avec pièces de connexion, n.d.a.")</f>
        <v xml:space="preserve">   Conducteurs électriques, pour tension &gt; 80 V mais &lt;= 1.000 V, avec pièces de connexion, n.d.a.</v>
      </c>
      <c r="C8130">
        <v>264352</v>
      </c>
      <c r="D8130">
        <v>323</v>
      </c>
    </row>
    <row r="8131" spans="1:4" x14ac:dyDescent="0.25">
      <c r="A8131" t="str">
        <f>T("   870290")</f>
        <v xml:space="preserve">   870290</v>
      </c>
      <c r="B8131" t="s">
        <v>478</v>
      </c>
      <c r="C8131">
        <v>147260300</v>
      </c>
      <c r="D8131">
        <v>12700</v>
      </c>
    </row>
    <row r="8132" spans="1:4" x14ac:dyDescent="0.25">
      <c r="A8132" t="str">
        <f>T("   870322")</f>
        <v xml:space="preserve">   870322</v>
      </c>
      <c r="B8132" t="s">
        <v>480</v>
      </c>
      <c r="C8132">
        <v>1443994</v>
      </c>
      <c r="D8132">
        <v>1200</v>
      </c>
    </row>
    <row r="8133" spans="1:4" x14ac:dyDescent="0.25">
      <c r="A8133" t="str">
        <f>T("   870829")</f>
        <v xml:space="preserve">   870829</v>
      </c>
      <c r="B8133" t="s">
        <v>493</v>
      </c>
      <c r="C8133">
        <v>131192</v>
      </c>
      <c r="D8133">
        <v>80</v>
      </c>
    </row>
    <row r="8134" spans="1:4" x14ac:dyDescent="0.25">
      <c r="A8134" t="str">
        <f>T("   900410")</f>
        <v xml:space="preserve">   900410</v>
      </c>
      <c r="B8134" t="str">
        <f>T("   Lunettes solaires")</f>
        <v xml:space="preserve">   Lunettes solaires</v>
      </c>
      <c r="C8134">
        <v>1147930</v>
      </c>
      <c r="D8134">
        <v>100</v>
      </c>
    </row>
    <row r="8135" spans="1:4" x14ac:dyDescent="0.25">
      <c r="A8135" t="str">
        <f>T("   901580")</f>
        <v xml:space="preserve">   901580</v>
      </c>
      <c r="B8135" t="s">
        <v>501</v>
      </c>
      <c r="C8135">
        <v>3994861</v>
      </c>
      <c r="D8135">
        <v>28</v>
      </c>
    </row>
    <row r="8136" spans="1:4" x14ac:dyDescent="0.25">
      <c r="A8136" t="str">
        <f>T("   901890")</f>
        <v xml:space="preserve">   901890</v>
      </c>
      <c r="B8136" t="str">
        <f>T("   Instruments et appareils pour la médecine, la chirurgie ou l'art vétérinaire, n.d.a.")</f>
        <v xml:space="preserve">   Instruments et appareils pour la médecine, la chirurgie ou l'art vétérinaire, n.d.a.</v>
      </c>
      <c r="C8136">
        <v>696630</v>
      </c>
      <c r="D8136">
        <v>249</v>
      </c>
    </row>
    <row r="8137" spans="1:4" x14ac:dyDescent="0.25">
      <c r="A8137" t="str">
        <f>T("   902480")</f>
        <v xml:space="preserve">   902480</v>
      </c>
      <c r="B8137" t="str">
        <f>T("   Machines et appareils d'essais des propriétés mécaniques des matériaux (autres que les métaux)")</f>
        <v xml:space="preserve">   Machines et appareils d'essais des propriétés mécaniques des matériaux (autres que les métaux)</v>
      </c>
      <c r="C8137">
        <v>481409</v>
      </c>
      <c r="D8137">
        <v>215</v>
      </c>
    </row>
    <row r="8138" spans="1:4" x14ac:dyDescent="0.25">
      <c r="A8138" t="str">
        <f>T("   903289")</f>
        <v xml:space="preserve">   903289</v>
      </c>
      <c r="B8138" t="s">
        <v>508</v>
      </c>
      <c r="C8138">
        <v>1773236</v>
      </c>
      <c r="D8138">
        <v>20</v>
      </c>
    </row>
    <row r="8139" spans="1:4" x14ac:dyDescent="0.25">
      <c r="A8139" t="str">
        <f>T("   940360")</f>
        <v xml:space="preserve">   940360</v>
      </c>
      <c r="B8139" t="str">
        <f>T("   Meubles en bois (autres que pour bureaux, cuisines ou chambres à coucher et autres que sièges)")</f>
        <v xml:space="preserve">   Meubles en bois (autres que pour bureaux, cuisines ou chambres à coucher et autres que sièges)</v>
      </c>
      <c r="C8139">
        <v>3156480</v>
      </c>
      <c r="D8139">
        <v>2500</v>
      </c>
    </row>
    <row r="8140" spans="1:4" x14ac:dyDescent="0.25">
      <c r="A8140" t="str">
        <f>T("   940380")</f>
        <v xml:space="preserve">   940380</v>
      </c>
      <c r="B8140" t="str">
        <f>T("   Meubles en rotin, osier, bambou ou autres matières (sauf métal, bois et matières plastiques)")</f>
        <v xml:space="preserve">   Meubles en rotin, osier, bambou ou autres matières (sauf métal, bois et matières plastiques)</v>
      </c>
      <c r="C8140">
        <v>3500000</v>
      </c>
      <c r="D8140">
        <v>5800</v>
      </c>
    </row>
    <row r="8141" spans="1:4" x14ac:dyDescent="0.25">
      <c r="A8141" t="str">
        <f>T("   940510")</f>
        <v xml:space="preserve">   940510</v>
      </c>
      <c r="B8141" t="str">
        <f>T("   Lustres et autres appareils d'éclairage électrique à suspendre ou à fixer au plafond ou au mur (sauf pour l'éclairage des espaces et voies publiques)")</f>
        <v xml:space="preserve">   Lustres et autres appareils d'éclairage électrique à suspendre ou à fixer au plafond ou au mur (sauf pour l'éclairage des espaces et voies publiques)</v>
      </c>
      <c r="C8141">
        <v>1546734</v>
      </c>
      <c r="D8141">
        <v>225</v>
      </c>
    </row>
    <row r="8142" spans="1:4" x14ac:dyDescent="0.25">
      <c r="A8142" t="str">
        <f>T("   940540")</f>
        <v xml:space="preserve">   940540</v>
      </c>
      <c r="B8142" t="str">
        <f>T("   Appareils d'éclairage électrique, n.d.a.")</f>
        <v xml:space="preserve">   Appareils d'éclairage électrique, n.d.a.</v>
      </c>
      <c r="C8142">
        <v>50939243</v>
      </c>
      <c r="D8142">
        <v>18623</v>
      </c>
    </row>
    <row r="8143" spans="1:4" x14ac:dyDescent="0.25">
      <c r="A8143" t="str">
        <f>T("   940592")</f>
        <v xml:space="preserve">   940592</v>
      </c>
      <c r="B8143" t="str">
        <f>T("   Parties en matières plastiques d'appareils d'éclairage, de lampes-réclames, d'enseignes lumineuses, de plaques indicatrices lumineuses, et simil., n.d.a.")</f>
        <v xml:space="preserve">   Parties en matières plastiques d'appareils d'éclairage, de lampes-réclames, d'enseignes lumineuses, de plaques indicatrices lumineuses, et simil., n.d.a.</v>
      </c>
      <c r="C8143">
        <v>832748</v>
      </c>
      <c r="D8143">
        <v>505</v>
      </c>
    </row>
    <row r="8144" spans="1:4" x14ac:dyDescent="0.25">
      <c r="A8144" t="str">
        <f>T("   940599")</f>
        <v xml:space="preserve">   940599</v>
      </c>
      <c r="B8144" t="str">
        <f>T("   Parties d'appareils d'éclairage, de lampes-réclames, d'enseignes lumineuses, de plaques indicatrices lumineuses, et simil., n.d.a.")</f>
        <v xml:space="preserve">   Parties d'appareils d'éclairage, de lampes-réclames, d'enseignes lumineuses, de plaques indicatrices lumineuses, et simil., n.d.a.</v>
      </c>
      <c r="C8144">
        <v>4872852</v>
      </c>
      <c r="D8144">
        <v>6069</v>
      </c>
    </row>
    <row r="8145" spans="1:4" x14ac:dyDescent="0.25">
      <c r="A8145" t="str">
        <f>T("MC")</f>
        <v>MC</v>
      </c>
      <c r="B8145" t="str">
        <f>T("Monaco")</f>
        <v>Monaco</v>
      </c>
    </row>
    <row r="8146" spans="1:4" x14ac:dyDescent="0.25">
      <c r="A8146" t="str">
        <f>T("   ZZ_Total_Produit_SH6")</f>
        <v xml:space="preserve">   ZZ_Total_Produit_SH6</v>
      </c>
      <c r="B8146" t="str">
        <f>T("   ZZ_Total_Produit_SH6")</f>
        <v xml:space="preserve">   ZZ_Total_Produit_SH6</v>
      </c>
      <c r="C8146">
        <v>78287064</v>
      </c>
      <c r="D8146">
        <v>63934</v>
      </c>
    </row>
    <row r="8147" spans="1:4" x14ac:dyDescent="0.25">
      <c r="A8147" t="str">
        <f>T("   180632")</f>
        <v xml:space="preserve">   180632</v>
      </c>
      <c r="B8147" t="str">
        <f>T("   CHOCOLAT ET AUTRES PRÉPARATIONS ALIMENTAIRES CONTENANT DU CACAO, PRÉSENTÉS EN TABLETTES, BARRES OU BÂTONS, D'UN POIDS &lt;= 2 KG, NON-FOURRÉS")</f>
        <v xml:space="preserve">   CHOCOLAT ET AUTRES PRÉPARATIONS ALIMENTAIRES CONTENANT DU CACAO, PRÉSENTÉS EN TABLETTES, BARRES OU BÂTONS, D'UN POIDS &lt;= 2 KG, NON-FOURRÉS</v>
      </c>
      <c r="C8147">
        <v>1109228</v>
      </c>
      <c r="D8147">
        <v>1446</v>
      </c>
    </row>
    <row r="8148" spans="1:4" x14ac:dyDescent="0.25">
      <c r="A8148" t="str">
        <f>T("   190590")</f>
        <v xml:space="preserve">   190590</v>
      </c>
      <c r="B8148" t="s">
        <v>51</v>
      </c>
      <c r="C8148">
        <v>570685</v>
      </c>
      <c r="D8148">
        <v>744</v>
      </c>
    </row>
    <row r="8149" spans="1:4" x14ac:dyDescent="0.25">
      <c r="A8149" t="str">
        <f>T("   210690")</f>
        <v xml:space="preserve">   210690</v>
      </c>
      <c r="B8149" t="str">
        <f>T("   Préparations alimentaires, n.d.a.")</f>
        <v xml:space="preserve">   Préparations alimentaires, n.d.a.</v>
      </c>
      <c r="C8149">
        <v>713029</v>
      </c>
      <c r="D8149">
        <v>929</v>
      </c>
    </row>
    <row r="8150" spans="1:4" x14ac:dyDescent="0.25">
      <c r="A8150" t="str">
        <f>T("   220300")</f>
        <v xml:space="preserve">   220300</v>
      </c>
      <c r="B8150" t="str">
        <f>T("   Bières de malt")</f>
        <v xml:space="preserve">   Bières de malt</v>
      </c>
      <c r="C8150">
        <v>296494</v>
      </c>
      <c r="D8150">
        <v>386</v>
      </c>
    </row>
    <row r="8151" spans="1:4" x14ac:dyDescent="0.25">
      <c r="A8151" t="str">
        <f>T("   220421")</f>
        <v xml:space="preserve">   220421</v>
      </c>
      <c r="B8151" t="str">
        <f>T("   Vins de raisins frais, y.c. les vins enrichis en alcool (à l'excl. des vins mousseux); moûts de raisins dont la fermentation a été empêchée ou arrêtée par addition d'alcool, en récipients d'une contenance &lt;= 2 l")</f>
        <v xml:space="preserve">   Vins de raisins frais, y.c. les vins enrichis en alcool (à l'excl. des vins mousseux); moûts de raisins dont la fermentation a été empêchée ou arrêtée par addition d'alcool, en récipients d'une contenance &lt;= 2 l</v>
      </c>
      <c r="C8151">
        <v>3224043</v>
      </c>
      <c r="D8151">
        <v>4202</v>
      </c>
    </row>
    <row r="8152" spans="1:4" x14ac:dyDescent="0.25">
      <c r="A8152" t="str">
        <f>T("   230910")</f>
        <v xml:space="preserve">   230910</v>
      </c>
      <c r="B8152" t="str">
        <f>T("   Aliments pour chiens ou chats, conditionnés pour la vente au détail")</f>
        <v xml:space="preserve">   Aliments pour chiens ou chats, conditionnés pour la vente au détail</v>
      </c>
      <c r="C8152">
        <v>192852</v>
      </c>
      <c r="D8152">
        <v>251</v>
      </c>
    </row>
    <row r="8153" spans="1:4" x14ac:dyDescent="0.25">
      <c r="A8153" t="str">
        <f>T("   250100")</f>
        <v xml:space="preserve">   250100</v>
      </c>
      <c r="B8153" t="s">
        <v>63</v>
      </c>
      <c r="C8153">
        <v>24271</v>
      </c>
      <c r="D8153">
        <v>33</v>
      </c>
    </row>
    <row r="8154" spans="1:4" x14ac:dyDescent="0.25">
      <c r="A8154" t="str">
        <f>T("   300490")</f>
        <v xml:space="preserve">   300490</v>
      </c>
      <c r="B8154" t="s">
        <v>80</v>
      </c>
      <c r="C8154">
        <v>2938745</v>
      </c>
      <c r="D8154">
        <v>36</v>
      </c>
    </row>
    <row r="8155" spans="1:4" x14ac:dyDescent="0.25">
      <c r="A8155" t="str">
        <f>T("   330300")</f>
        <v xml:space="preserve">   330300</v>
      </c>
      <c r="B8155" t="str">
        <f>T("   Parfums et eaux de toilette (à l'excl. des préparations pour l'après-rasage [lotions after-shave] et des désodorisants corporels)")</f>
        <v xml:space="preserve">   Parfums et eaux de toilette (à l'excl. des préparations pour l'après-rasage [lotions after-shave] et des désodorisants corporels)</v>
      </c>
      <c r="C8155">
        <v>783542</v>
      </c>
      <c r="D8155">
        <v>126</v>
      </c>
    </row>
    <row r="8156" spans="1:4" x14ac:dyDescent="0.25">
      <c r="A8156" t="str">
        <f>T("   330610")</f>
        <v xml:space="preserve">   330610</v>
      </c>
      <c r="B8156" t="str">
        <f>T("   Dentifrices, préparés, même des types utilisés par les dentistes")</f>
        <v xml:space="preserve">   Dentifrices, préparés, même des types utilisés par les dentistes</v>
      </c>
      <c r="C8156">
        <v>722212</v>
      </c>
      <c r="D8156">
        <v>941</v>
      </c>
    </row>
    <row r="8157" spans="1:4" x14ac:dyDescent="0.25">
      <c r="A8157" t="str">
        <f>T("   340220")</f>
        <v xml:space="preserve">   340220</v>
      </c>
      <c r="B8157" t="s">
        <v>104</v>
      </c>
      <c r="C8157">
        <v>1739606</v>
      </c>
      <c r="D8157">
        <v>2267</v>
      </c>
    </row>
    <row r="8158" spans="1:4" x14ac:dyDescent="0.25">
      <c r="A8158" t="str">
        <f>T("   481820")</f>
        <v xml:space="preserve">   481820</v>
      </c>
      <c r="B8158" t="str">
        <f>T("   Mouchoirs, serviettes à démaquiller et essuie-mains, en pâte à papier, papier, ouate de cellulose ou nappes de fibres de cellulose")</f>
        <v xml:space="preserve">   Mouchoirs, serviettes à démaquiller et essuie-mains, en pâte à papier, papier, ouate de cellulose ou nappes de fibres de cellulose</v>
      </c>
      <c r="C8158">
        <v>688758</v>
      </c>
      <c r="D8158">
        <v>898</v>
      </c>
    </row>
    <row r="8159" spans="1:4" x14ac:dyDescent="0.25">
      <c r="A8159" t="str">
        <f>T("   732113")</f>
        <v xml:space="preserve">   732113</v>
      </c>
      <c r="B8159" t="str">
        <f>T("   Appareils de cuisson tels que foyers de cuisson, barbecues, grilloirs, réchauds et cuisinières, et chauffe-plats, à usage domestique, en fonte, fer ou acier, à combustibles solides (à l'excl. des appareils destinés à la cuisine à grande échelle)")</f>
        <v xml:space="preserve">   Appareils de cuisson tels que foyers de cuisson, barbecues, grilloirs, réchauds et cuisinières, et chauffe-plats, à usage domestique, en fonte, fer ou acier, à combustibles solides (à l'excl. des appareils destinés à la cuisine à grande échelle)</v>
      </c>
      <c r="C8159">
        <v>13486033</v>
      </c>
      <c r="D8159">
        <v>8878</v>
      </c>
    </row>
    <row r="8160" spans="1:4" x14ac:dyDescent="0.25">
      <c r="A8160" t="str">
        <f>T("   732190")</f>
        <v xml:space="preserve">   732190</v>
      </c>
      <c r="B8160" t="str">
        <f>T("   Parties des appareils ménagers chauffants non-électriques du n° 7321, n.d.a.")</f>
        <v xml:space="preserve">   Parties des appareils ménagers chauffants non-électriques du n° 7321, n.d.a.</v>
      </c>
      <c r="C8160">
        <v>63754</v>
      </c>
      <c r="D8160">
        <v>42</v>
      </c>
    </row>
    <row r="8161" spans="1:4" x14ac:dyDescent="0.25">
      <c r="A8161" t="str">
        <f>T("   841810")</f>
        <v xml:space="preserve">   841810</v>
      </c>
      <c r="B8161" t="str">
        <f>T("   Réfrigérateurs et congélateurs-conservateurs combinés, avec portes extérieures séparées")</f>
        <v xml:space="preserve">   Réfrigérateurs et congélateurs-conservateurs combinés, avec portes extérieures séparées</v>
      </c>
      <c r="C8161">
        <v>6578623</v>
      </c>
      <c r="D8161">
        <v>5400</v>
      </c>
    </row>
    <row r="8162" spans="1:4" x14ac:dyDescent="0.25">
      <c r="A8162" t="str">
        <f>T("   841829")</f>
        <v xml:space="preserve">   841829</v>
      </c>
      <c r="B8162" t="str">
        <f>T("   Réfrigérateurs ménagers à absorption, non-électriques")</f>
        <v xml:space="preserve">   Réfrigérateurs ménagers à absorption, non-électriques</v>
      </c>
      <c r="C8162">
        <v>15390011</v>
      </c>
      <c r="D8162">
        <v>14732</v>
      </c>
    </row>
    <row r="8163" spans="1:4" x14ac:dyDescent="0.25">
      <c r="A8163" t="str">
        <f>T("   841830")</f>
        <v xml:space="preserve">   841830</v>
      </c>
      <c r="B8163" t="str">
        <f>T("   Meubles congélateurs-conservateurs du type coffre, capacité &lt;= 800 l")</f>
        <v xml:space="preserve">   Meubles congélateurs-conservateurs du type coffre, capacité &lt;= 800 l</v>
      </c>
      <c r="C8163">
        <v>7740328</v>
      </c>
      <c r="D8163">
        <v>4028</v>
      </c>
    </row>
    <row r="8164" spans="1:4" x14ac:dyDescent="0.25">
      <c r="A8164" t="str">
        <f>T("   841850")</f>
        <v xml:space="preserve">   841850</v>
      </c>
      <c r="B8164" t="s">
        <v>404</v>
      </c>
      <c r="C8164">
        <v>22024850</v>
      </c>
      <c r="D8164">
        <v>18595</v>
      </c>
    </row>
    <row r="8165" spans="1:4" x14ac:dyDescent="0.25">
      <c r="A8165" t="str">
        <f>T("MD")</f>
        <v>MD</v>
      </c>
      <c r="B8165" t="str">
        <f>T("Moldova, République de")</f>
        <v>Moldova, République de</v>
      </c>
    </row>
    <row r="8166" spans="1:4" x14ac:dyDescent="0.25">
      <c r="A8166" t="str">
        <f>T("   ZZ_Total_Produit_SH6")</f>
        <v xml:space="preserve">   ZZ_Total_Produit_SH6</v>
      </c>
      <c r="B8166" t="str">
        <f>T("   ZZ_Total_Produit_SH6")</f>
        <v xml:space="preserve">   ZZ_Total_Produit_SH6</v>
      </c>
      <c r="C8166">
        <v>2979370</v>
      </c>
      <c r="D8166">
        <v>210</v>
      </c>
    </row>
    <row r="8167" spans="1:4" x14ac:dyDescent="0.25">
      <c r="A8167" t="str">
        <f>T("   620590")</f>
        <v xml:space="preserve">   620590</v>
      </c>
      <c r="B8167"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8167">
        <v>1079710</v>
      </c>
      <c r="D8167">
        <v>77</v>
      </c>
    </row>
    <row r="8168" spans="1:4" x14ac:dyDescent="0.25">
      <c r="A8168" t="str">
        <f>T("   640299")</f>
        <v xml:space="preserve">   640299</v>
      </c>
      <c r="B8168" t="s">
        <v>283</v>
      </c>
      <c r="C8168">
        <v>1899660</v>
      </c>
      <c r="D8168">
        <v>133</v>
      </c>
    </row>
    <row r="8169" spans="1:4" x14ac:dyDescent="0.25">
      <c r="A8169" t="str">
        <f>T("MG")</f>
        <v>MG</v>
      </c>
      <c r="B8169" t="str">
        <f>T("Madagascar")</f>
        <v>Madagascar</v>
      </c>
    </row>
    <row r="8170" spans="1:4" x14ac:dyDescent="0.25">
      <c r="A8170" t="str">
        <f>T("   ZZ_Total_Produit_SH6")</f>
        <v xml:space="preserve">   ZZ_Total_Produit_SH6</v>
      </c>
      <c r="B8170" t="str">
        <f>T("   ZZ_Total_Produit_SH6")</f>
        <v xml:space="preserve">   ZZ_Total_Produit_SH6</v>
      </c>
      <c r="C8170">
        <v>836361282</v>
      </c>
      <c r="D8170">
        <v>1275993</v>
      </c>
    </row>
    <row r="8171" spans="1:4" x14ac:dyDescent="0.25">
      <c r="A8171" t="str">
        <f>T("   220710")</f>
        <v xml:space="preserve">   220710</v>
      </c>
      <c r="B8171" t="str">
        <f>T("   Alcool éthylique non dénaturé d'un titre alcoométrique volumique &gt;= 80% vol")</f>
        <v xml:space="preserve">   Alcool éthylique non dénaturé d'un titre alcoométrique volumique &gt;= 80% vol</v>
      </c>
      <c r="C8171">
        <v>309613120</v>
      </c>
      <c r="D8171">
        <v>956960</v>
      </c>
    </row>
    <row r="8172" spans="1:4" x14ac:dyDescent="0.25">
      <c r="A8172" t="str">
        <f>T("   621020")</f>
        <v xml:space="preserve">   621020</v>
      </c>
      <c r="B8172" t="str">
        <f>T("   Vêtements des types du n° 6201.11 à 6201.19 [manteaux, cabans, capes et articles simil.], caoutchoutés ou imprégnés, enduits ou recouverts de matière plastique ou d'autres substances")</f>
        <v xml:space="preserve">   Vêtements des types du n° 6201.11 à 6201.19 [manteaux, cabans, capes et articles simil.], caoutchoutés ou imprégnés, enduits ou recouverts de matière plastique ou d'autres substances</v>
      </c>
      <c r="C8172">
        <v>600000</v>
      </c>
      <c r="D8172">
        <v>130</v>
      </c>
    </row>
    <row r="8173" spans="1:4" x14ac:dyDescent="0.25">
      <c r="A8173" t="str">
        <f>T("   621040")</f>
        <v xml:space="preserve">   621040</v>
      </c>
      <c r="B8173" t="s">
        <v>271</v>
      </c>
      <c r="C8173">
        <v>1000000</v>
      </c>
      <c r="D8173">
        <v>1050</v>
      </c>
    </row>
    <row r="8174" spans="1:4" x14ac:dyDescent="0.25">
      <c r="A8174" t="str">
        <f>T("   621050")</f>
        <v xml:space="preserve">   621050</v>
      </c>
      <c r="B8174" t="s">
        <v>272</v>
      </c>
      <c r="C8174">
        <v>308550</v>
      </c>
      <c r="D8174">
        <v>57</v>
      </c>
    </row>
    <row r="8175" spans="1:4" x14ac:dyDescent="0.25">
      <c r="A8175" t="str">
        <f>T("   630299")</f>
        <v xml:space="preserve">   630299</v>
      </c>
      <c r="B8175" t="str">
        <f>T("   LINGE DE TOILETTE OU DE CUISINE, DE MATIÈRES TEXTILES (AUTRE QUE DE COTON, FIBRES SYNTHÉTIQUES OU ARTIFICIELLES ET SAUF SERPILLIÈRES, CHIFFONS À PARQUET, LAVETTES ET CHAMOISETTES)")</f>
        <v xml:space="preserve">   LINGE DE TOILETTE OU DE CUISINE, DE MATIÈRES TEXTILES (AUTRE QUE DE COTON, FIBRES SYNTHÉTIQUES OU ARTIFICIELLES ET SAUF SERPILLIÈRES, CHIFFONS À PARQUET, LAVETTES ET CHAMOISETTES)</v>
      </c>
      <c r="C8175">
        <v>411400</v>
      </c>
      <c r="D8175">
        <v>76</v>
      </c>
    </row>
    <row r="8176" spans="1:4" x14ac:dyDescent="0.25">
      <c r="A8176" t="str">
        <f>T("   842920")</f>
        <v xml:space="preserve">   842920</v>
      </c>
      <c r="B8176" t="str">
        <f>T("   Niveleuses autopropulsées")</f>
        <v xml:space="preserve">   Niveleuses autopropulsées</v>
      </c>
      <c r="C8176">
        <v>52217040</v>
      </c>
      <c r="D8176">
        <v>36000</v>
      </c>
    </row>
    <row r="8177" spans="1:4" x14ac:dyDescent="0.25">
      <c r="A8177" t="str">
        <f>T("   842940")</f>
        <v xml:space="preserve">   842940</v>
      </c>
      <c r="B8177" t="str">
        <f>T("   Rouleaux compresseurs et autres compacteuses, autopropulsés")</f>
        <v xml:space="preserve">   Rouleaux compresseurs et autres compacteuses, autopropulsés</v>
      </c>
      <c r="C8177">
        <v>17405899</v>
      </c>
      <c r="D8177">
        <v>16000</v>
      </c>
    </row>
    <row r="8178" spans="1:4" x14ac:dyDescent="0.25">
      <c r="A8178" t="str">
        <f>T("   842951")</f>
        <v xml:space="preserve">   842951</v>
      </c>
      <c r="B8178" t="str">
        <f>T("   Chargeuses et chargeuses-pelleteuses, à chargement frontal, autopropulsées")</f>
        <v xml:space="preserve">   Chargeuses et chargeuses-pelleteuses, à chargement frontal, autopropulsées</v>
      </c>
      <c r="C8178">
        <v>60920317</v>
      </c>
      <c r="D8178">
        <v>36000</v>
      </c>
    </row>
    <row r="8179" spans="1:4" x14ac:dyDescent="0.25">
      <c r="A8179" t="str">
        <f>T("   843041")</f>
        <v xml:space="preserve">   843041</v>
      </c>
      <c r="B8179" t="s">
        <v>412</v>
      </c>
      <c r="C8179">
        <v>24005512</v>
      </c>
      <c r="D8179">
        <v>9020</v>
      </c>
    </row>
    <row r="8180" spans="1:4" x14ac:dyDescent="0.25">
      <c r="A8180" t="str">
        <f>T("   843149")</f>
        <v xml:space="preserve">   843149</v>
      </c>
      <c r="B8180" t="str">
        <f>T("   Parties de machines et appareils du n° 8426, 8429 ou 8430, n.d.a.")</f>
        <v xml:space="preserve">   Parties de machines et appareils du n° 8426, 8429 ou 8430, n.d.a.</v>
      </c>
      <c r="C8180">
        <v>663831</v>
      </c>
      <c r="D8180">
        <v>4000</v>
      </c>
    </row>
    <row r="8181" spans="1:4" x14ac:dyDescent="0.25">
      <c r="A8181" t="str">
        <f>T("   847490")</f>
        <v xml:space="preserve">   847490</v>
      </c>
      <c r="B8181" t="str">
        <f>T("   Parties des machines et appareils pour le travail des matières minérales du n° 8474, n.d.a.")</f>
        <v xml:space="preserve">   Parties des machines et appareils pour le travail des matières minérales du n° 8474, n.d.a.</v>
      </c>
      <c r="C8181">
        <v>13054916</v>
      </c>
      <c r="D8181">
        <v>12200</v>
      </c>
    </row>
    <row r="8182" spans="1:4" x14ac:dyDescent="0.25">
      <c r="A8182" t="str">
        <f>T("   847910")</f>
        <v xml:space="preserve">   847910</v>
      </c>
      <c r="B8182" t="str">
        <f>T("   Machines et appareils pour les travaux publics, le bâtiment ou les travaux analogues, n.d.a.")</f>
        <v xml:space="preserve">   Machines et appareils pour les travaux publics, le bâtiment ou les travaux analogues, n.d.a.</v>
      </c>
      <c r="C8182">
        <v>66275574</v>
      </c>
      <c r="D8182">
        <v>56500</v>
      </c>
    </row>
    <row r="8183" spans="1:4" x14ac:dyDescent="0.25">
      <c r="A8183" t="str">
        <f>T("   870130")</f>
        <v xml:space="preserve">   870130</v>
      </c>
      <c r="B8183" t="str">
        <f>T("   Tracteurs à chenilles (sauf motoculteurs à chenille)")</f>
        <v xml:space="preserve">   Tracteurs à chenilles (sauf motoculteurs à chenille)</v>
      </c>
      <c r="C8183">
        <v>17405899</v>
      </c>
      <c r="D8183">
        <v>18000</v>
      </c>
    </row>
    <row r="8184" spans="1:4" x14ac:dyDescent="0.25">
      <c r="A8184" t="str">
        <f>T("   870410")</f>
        <v xml:space="preserve">   870410</v>
      </c>
      <c r="B8184" t="str">
        <f>T("   Tombereaux automoteurs utilisés en dehors du réseau routier")</f>
        <v xml:space="preserve">   Tombereaux automoteurs utilisés en dehors du réseau routier</v>
      </c>
      <c r="C8184">
        <v>272479224</v>
      </c>
      <c r="D8184">
        <v>130000</v>
      </c>
    </row>
    <row r="8185" spans="1:4" x14ac:dyDescent="0.25">
      <c r="A8185" t="str">
        <f>T("ML")</f>
        <v>ML</v>
      </c>
      <c r="B8185" t="str">
        <f>T("Mali")</f>
        <v>Mali</v>
      </c>
    </row>
    <row r="8186" spans="1:4" x14ac:dyDescent="0.25">
      <c r="A8186" t="str">
        <f>T("   ZZ_Total_Produit_SH6")</f>
        <v xml:space="preserve">   ZZ_Total_Produit_SH6</v>
      </c>
      <c r="B8186" t="str">
        <f>T("   ZZ_Total_Produit_SH6")</f>
        <v xml:space="preserve">   ZZ_Total_Produit_SH6</v>
      </c>
      <c r="C8186">
        <v>83648430</v>
      </c>
      <c r="D8186">
        <v>89090</v>
      </c>
    </row>
    <row r="8187" spans="1:4" x14ac:dyDescent="0.25">
      <c r="A8187" t="str">
        <f>T("   020714")</f>
        <v xml:space="preserve">   020714</v>
      </c>
      <c r="B8187" t="str">
        <f>T("   Morceaux et abats comestibles de coqs et de poules [des espèces domestiques], congelés")</f>
        <v xml:space="preserve">   Morceaux et abats comestibles de coqs et de poules [des espèces domestiques], congelés</v>
      </c>
      <c r="C8187">
        <v>50430205</v>
      </c>
      <c r="D8187">
        <v>84000</v>
      </c>
    </row>
    <row r="8188" spans="1:4" x14ac:dyDescent="0.25">
      <c r="A8188" t="str">
        <f>T("   300490")</f>
        <v xml:space="preserve">   300490</v>
      </c>
      <c r="B8188" t="s">
        <v>80</v>
      </c>
      <c r="C8188">
        <v>24309527</v>
      </c>
      <c r="D8188">
        <v>1132</v>
      </c>
    </row>
    <row r="8189" spans="1:4" x14ac:dyDescent="0.25">
      <c r="A8189" t="str">
        <f>T("   490700")</f>
        <v xml:space="preserve">   490700</v>
      </c>
      <c r="B8189" t="s">
        <v>221</v>
      </c>
      <c r="C8189">
        <v>5304200</v>
      </c>
      <c r="D8189">
        <v>2553</v>
      </c>
    </row>
    <row r="8190" spans="1:4" x14ac:dyDescent="0.25">
      <c r="A8190" t="str">
        <f>T("   870323")</f>
        <v xml:space="preserve">   870323</v>
      </c>
      <c r="B8190" t="s">
        <v>481</v>
      </c>
      <c r="C8190">
        <v>2999300</v>
      </c>
      <c r="D8190">
        <v>1365</v>
      </c>
    </row>
    <row r="8191" spans="1:4" x14ac:dyDescent="0.25">
      <c r="A8191" t="str">
        <f>T("   901580")</f>
        <v xml:space="preserve">   901580</v>
      </c>
      <c r="B8191" t="s">
        <v>501</v>
      </c>
      <c r="C8191">
        <v>605198</v>
      </c>
      <c r="D8191">
        <v>40</v>
      </c>
    </row>
    <row r="8192" spans="1:4" x14ac:dyDescent="0.25">
      <c r="A8192" t="str">
        <f>T("MR")</f>
        <v>MR</v>
      </c>
      <c r="B8192" t="str">
        <f>T("Mauritanie")</f>
        <v>Mauritanie</v>
      </c>
    </row>
    <row r="8193" spans="1:4" x14ac:dyDescent="0.25">
      <c r="A8193" t="str">
        <f>T("   ZZ_Total_Produit_SH6")</f>
        <v xml:space="preserve">   ZZ_Total_Produit_SH6</v>
      </c>
      <c r="B8193" t="str">
        <f>T("   ZZ_Total_Produit_SH6")</f>
        <v xml:space="preserve">   ZZ_Total_Produit_SH6</v>
      </c>
      <c r="C8193">
        <v>5442431815</v>
      </c>
      <c r="D8193">
        <v>31051178</v>
      </c>
    </row>
    <row r="8194" spans="1:4" x14ac:dyDescent="0.25">
      <c r="A8194" t="str">
        <f>T("   030269")</f>
        <v xml:space="preserve">   030269</v>
      </c>
      <c r="B8194" t="s">
        <v>16</v>
      </c>
      <c r="C8194">
        <v>13394325</v>
      </c>
      <c r="D8194">
        <v>76539</v>
      </c>
    </row>
    <row r="8195" spans="1:4" x14ac:dyDescent="0.25">
      <c r="A8195" t="str">
        <f>T("   030329")</f>
        <v xml:space="preserve">   030329</v>
      </c>
      <c r="B8195" t="str">
        <f>T("   Salmonidés, congelés (à l'excl. des saumons du Pacifique, de l'Atlantique et du Danube ainsi que des truites)")</f>
        <v xml:space="preserve">   Salmonidés, congelés (à l'excl. des saumons du Pacifique, de l'Atlantique et du Danube ainsi que des truites)</v>
      </c>
      <c r="C8195">
        <v>3634724664</v>
      </c>
      <c r="D8195">
        <v>20772449</v>
      </c>
    </row>
    <row r="8196" spans="1:4" x14ac:dyDescent="0.25">
      <c r="A8196" t="str">
        <f>T("   030379")</f>
        <v xml:space="preserve">   030379</v>
      </c>
      <c r="B8196" t="s">
        <v>17</v>
      </c>
      <c r="C8196">
        <v>1782284193</v>
      </c>
      <c r="D8196">
        <v>10190663</v>
      </c>
    </row>
    <row r="8197" spans="1:4" x14ac:dyDescent="0.25">
      <c r="A8197" t="str">
        <f>T("   300490")</f>
        <v xml:space="preserve">   300490</v>
      </c>
      <c r="B8197" t="s">
        <v>80</v>
      </c>
      <c r="C8197">
        <v>2091561</v>
      </c>
      <c r="D8197">
        <v>11</v>
      </c>
    </row>
    <row r="8198" spans="1:4" x14ac:dyDescent="0.25">
      <c r="A8198" t="str">
        <f>T("   620590")</f>
        <v xml:space="preserve">   620590</v>
      </c>
      <c r="B8198"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8198">
        <v>800000</v>
      </c>
      <c r="D8198">
        <v>1000</v>
      </c>
    </row>
    <row r="8199" spans="1:4" x14ac:dyDescent="0.25">
      <c r="A8199" t="str">
        <f>T("   732394")</f>
        <v xml:space="preserve">   732394</v>
      </c>
      <c r="B8199" t="s">
        <v>367</v>
      </c>
      <c r="C8199">
        <v>500000</v>
      </c>
      <c r="D8199">
        <v>1200</v>
      </c>
    </row>
    <row r="8200" spans="1:4" x14ac:dyDescent="0.25">
      <c r="A8200" t="str">
        <f>T("   841620")</f>
        <v xml:space="preserve">   841620</v>
      </c>
      <c r="B8200" t="str">
        <f>T("   Brûleurs pour l'alimentation des foyers à combustibles solides pulvérisés ou à gaz, y.c. les brûleurs mixtes")</f>
        <v xml:space="preserve">   Brûleurs pour l'alimentation des foyers à combustibles solides pulvérisés ou à gaz, y.c. les brûleurs mixtes</v>
      </c>
      <c r="C8200">
        <v>3937072</v>
      </c>
      <c r="D8200">
        <v>3516</v>
      </c>
    </row>
    <row r="8201" spans="1:4" x14ac:dyDescent="0.25">
      <c r="A8201" t="str">
        <f>T("   940150")</f>
        <v xml:space="preserve">   940150</v>
      </c>
      <c r="B8201" t="str">
        <f>T("   Sièges en rotin, en osier, en bambou ou en matières simil.")</f>
        <v xml:space="preserve">   Sièges en rotin, en osier, en bambou ou en matières simil.</v>
      </c>
      <c r="C8201">
        <v>3000000</v>
      </c>
      <c r="D8201">
        <v>4000</v>
      </c>
    </row>
    <row r="8202" spans="1:4" x14ac:dyDescent="0.25">
      <c r="A8202" t="str">
        <f>T("   940350")</f>
        <v xml:space="preserve">   940350</v>
      </c>
      <c r="B8202" t="str">
        <f>T("   Meubles pour chambres à coucher, en bois (sauf sièges)")</f>
        <v xml:space="preserve">   Meubles pour chambres à coucher, en bois (sauf sièges)</v>
      </c>
      <c r="C8202">
        <v>1700000</v>
      </c>
      <c r="D8202">
        <v>1800</v>
      </c>
    </row>
    <row r="8203" spans="1:4" x14ac:dyDescent="0.25">
      <c r="A8203" t="str">
        <f>T("MT")</f>
        <v>MT</v>
      </c>
      <c r="B8203" t="str">
        <f>T("Malte")</f>
        <v>Malte</v>
      </c>
    </row>
    <row r="8204" spans="1:4" x14ac:dyDescent="0.25">
      <c r="A8204" t="str">
        <f>T("   ZZ_Total_Produit_SH6")</f>
        <v xml:space="preserve">   ZZ_Total_Produit_SH6</v>
      </c>
      <c r="B8204" t="str">
        <f>T("   ZZ_Total_Produit_SH6")</f>
        <v xml:space="preserve">   ZZ_Total_Produit_SH6</v>
      </c>
      <c r="C8204">
        <v>206627</v>
      </c>
      <c r="D8204">
        <v>1660</v>
      </c>
    </row>
    <row r="8205" spans="1:4" x14ac:dyDescent="0.25">
      <c r="A8205" t="str">
        <f>T("   380810")</f>
        <v xml:space="preserve">   380810</v>
      </c>
      <c r="B8205" t="str">
        <f>T("   Insecticides présentés dans des formes ou emballages de vente au détail ou à l'état de préparations ou sous forme d'articles")</f>
        <v xml:space="preserve">   Insecticides présentés dans des formes ou emballages de vente au détail ou à l'état de préparations ou sous forme d'articles</v>
      </c>
      <c r="C8205">
        <v>206627</v>
      </c>
      <c r="D8205">
        <v>1660</v>
      </c>
    </row>
    <row r="8206" spans="1:4" x14ac:dyDescent="0.25">
      <c r="A8206" t="str">
        <f>T("MU")</f>
        <v>MU</v>
      </c>
      <c r="B8206" t="str">
        <f>T("Maurice, île")</f>
        <v>Maurice, île</v>
      </c>
    </row>
    <row r="8207" spans="1:4" x14ac:dyDescent="0.25">
      <c r="A8207" t="str">
        <f>T("   ZZ_Total_Produit_SH6")</f>
        <v xml:space="preserve">   ZZ_Total_Produit_SH6</v>
      </c>
      <c r="B8207" t="str">
        <f>T("   ZZ_Total_Produit_SH6")</f>
        <v xml:space="preserve">   ZZ_Total_Produit_SH6</v>
      </c>
      <c r="C8207">
        <v>4872578054.0030003</v>
      </c>
      <c r="D8207">
        <v>18105887</v>
      </c>
    </row>
    <row r="8208" spans="1:4" x14ac:dyDescent="0.25">
      <c r="A8208" t="str">
        <f>T("   091099")</f>
        <v xml:space="preserve">   091099</v>
      </c>
      <c r="B8208" t="s">
        <v>27</v>
      </c>
      <c r="C8208">
        <v>535919</v>
      </c>
      <c r="D8208">
        <v>186</v>
      </c>
    </row>
    <row r="8209" spans="1:4" x14ac:dyDescent="0.25">
      <c r="A8209" t="str">
        <f>T("   100630")</f>
        <v xml:space="preserve">   100630</v>
      </c>
      <c r="B8209" t="str">
        <f>T("   Riz semi-blanchi ou blanchi, même poli ou glacé")</f>
        <v xml:space="preserve">   Riz semi-blanchi ou blanchi, même poli ou glacé</v>
      </c>
      <c r="C8209">
        <v>4672736770.0030003</v>
      </c>
      <c r="D8209">
        <v>17798876</v>
      </c>
    </row>
    <row r="8210" spans="1:4" x14ac:dyDescent="0.25">
      <c r="A8210" t="str">
        <f>T("   160239")</f>
        <v xml:space="preserve">   160239</v>
      </c>
      <c r="B8210" t="s">
        <v>40</v>
      </c>
      <c r="C8210">
        <v>277471</v>
      </c>
      <c r="D8210">
        <v>97</v>
      </c>
    </row>
    <row r="8211" spans="1:4" x14ac:dyDescent="0.25">
      <c r="A8211" t="str">
        <f>T("   160414")</f>
        <v xml:space="preserve">   160414</v>
      </c>
      <c r="B8211" t="str">
        <f>T("   Préparations et conserves de thons, de listaos et de bonites 'Sarda spp.', entiers ou en morceaux (à l'excl. des préparations et conserves de thons, de listaos et de bonites hachés)")</f>
        <v xml:space="preserve">   Préparations et conserves de thons, de listaos et de bonites 'Sarda spp.', entiers ou en morceaux (à l'excl. des préparations et conserves de thons, de listaos et de bonites hachés)</v>
      </c>
      <c r="C8211">
        <v>2034788</v>
      </c>
      <c r="D8211">
        <v>962</v>
      </c>
    </row>
    <row r="8212" spans="1:4" x14ac:dyDescent="0.25">
      <c r="A8212" t="str">
        <f>T("   190219")</f>
        <v xml:space="preserve">   190219</v>
      </c>
      <c r="B8212" t="str">
        <f>T("   PÂTES ALIMENTAIRES NON-CUITES NI FARCIES NI AUTREMENT PRÉPARÉES, NE CONTENANT PAS D'OEUFS")</f>
        <v xml:space="preserve">   PÂTES ALIMENTAIRES NON-CUITES NI FARCIES NI AUTREMENT PRÉPARÉES, NE CONTENANT PAS D'OEUFS</v>
      </c>
      <c r="C8212">
        <v>1049536</v>
      </c>
      <c r="D8212">
        <v>497</v>
      </c>
    </row>
    <row r="8213" spans="1:4" x14ac:dyDescent="0.25">
      <c r="A8213" t="str">
        <f>T("   210390")</f>
        <v xml:space="preserve">   210390</v>
      </c>
      <c r="B8213"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8213">
        <v>7768534</v>
      </c>
      <c r="D8213">
        <v>3675</v>
      </c>
    </row>
    <row r="8214" spans="1:4" x14ac:dyDescent="0.25">
      <c r="A8214" t="str">
        <f>T("   220110")</f>
        <v xml:space="preserve">   220110</v>
      </c>
      <c r="B8214" t="str">
        <f>T("   Eaux minérales et eaux gazéifiées, non additionnées de sucre ou d'autres édulcorants ni aromatisées")</f>
        <v xml:space="preserve">   Eaux minérales et eaux gazéifiées, non additionnées de sucre ou d'autres édulcorants ni aromatisées</v>
      </c>
      <c r="C8214">
        <v>6759517</v>
      </c>
      <c r="D8214">
        <v>75153</v>
      </c>
    </row>
    <row r="8215" spans="1:4" x14ac:dyDescent="0.25">
      <c r="A8215" t="str">
        <f>T("   220300")</f>
        <v xml:space="preserve">   220300</v>
      </c>
      <c r="B8215" t="str">
        <f>T("   Bières de malt")</f>
        <v xml:space="preserve">   Bières de malt</v>
      </c>
      <c r="C8215">
        <v>36786473</v>
      </c>
      <c r="D8215">
        <v>117074</v>
      </c>
    </row>
    <row r="8216" spans="1:4" x14ac:dyDescent="0.25">
      <c r="A8216" t="str">
        <f>T("   300339")</f>
        <v xml:space="preserve">   300339</v>
      </c>
      <c r="B8216" t="str">
        <f>T("   Médicaments contenant des hormones ou des stéroïdes utilisés comme hormones, mais ne contenant pas d'antibiotiques, non présentés sous forme de doses, ni conditionnés pour la vente au détail (à l'excl. des médicaments contenant de l'insuline)")</f>
        <v xml:space="preserve">   Médicaments contenant des hormones ou des stéroïdes utilisés comme hormones, mais ne contenant pas d'antibiotiques, non présentés sous forme de doses, ni conditionnés pour la vente au détail (à l'excl. des médicaments contenant de l'insuline)</v>
      </c>
      <c r="C8216">
        <v>1208935</v>
      </c>
      <c r="D8216">
        <v>5395</v>
      </c>
    </row>
    <row r="8217" spans="1:4" x14ac:dyDescent="0.25">
      <c r="A8217" t="str">
        <f>T("   300439")</f>
        <v xml:space="preserve">   300439</v>
      </c>
      <c r="B8217" t="s">
        <v>78</v>
      </c>
      <c r="C8217">
        <v>27091149</v>
      </c>
      <c r="D8217">
        <v>1551</v>
      </c>
    </row>
    <row r="8218" spans="1:4" x14ac:dyDescent="0.25">
      <c r="A8218" t="str">
        <f>T("   340119")</f>
        <v xml:space="preserve">   340119</v>
      </c>
      <c r="B8218" t="s">
        <v>103</v>
      </c>
      <c r="C8218">
        <v>13389455</v>
      </c>
      <c r="D8218">
        <v>7306</v>
      </c>
    </row>
    <row r="8219" spans="1:4" x14ac:dyDescent="0.25">
      <c r="A8219" t="str">
        <f>T("   340120")</f>
        <v xml:space="preserve">   340120</v>
      </c>
      <c r="B8219" t="str">
        <f>T("   Savons en flocons, en paillettes, en granulés ou en poudres et savons liquides ou pâteux")</f>
        <v xml:space="preserve">   Savons en flocons, en paillettes, en granulés ou en poudres et savons liquides ou pâteux</v>
      </c>
      <c r="C8219">
        <v>575277</v>
      </c>
      <c r="D8219">
        <v>314</v>
      </c>
    </row>
    <row r="8220" spans="1:4" x14ac:dyDescent="0.25">
      <c r="A8220" t="str">
        <f>T("   340220")</f>
        <v xml:space="preserve">   340220</v>
      </c>
      <c r="B8220" t="s">
        <v>104</v>
      </c>
      <c r="C8220">
        <v>424406</v>
      </c>
      <c r="D8220">
        <v>231</v>
      </c>
    </row>
    <row r="8221" spans="1:4" x14ac:dyDescent="0.25">
      <c r="A8221" t="str">
        <f>T("   481840")</f>
        <v xml:space="preserve">   481840</v>
      </c>
      <c r="B8221"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8221">
        <v>9016170</v>
      </c>
      <c r="D8221">
        <v>693</v>
      </c>
    </row>
    <row r="8222" spans="1:4" x14ac:dyDescent="0.25">
      <c r="A8222" t="str">
        <f>T("   490199")</f>
        <v xml:space="preserve">   490199</v>
      </c>
      <c r="B8222"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8222">
        <v>20259981</v>
      </c>
      <c r="D8222">
        <v>4604</v>
      </c>
    </row>
    <row r="8223" spans="1:4" x14ac:dyDescent="0.25">
      <c r="A8223" t="str">
        <f>T("   610910")</f>
        <v xml:space="preserve">   610910</v>
      </c>
      <c r="B8223" t="str">
        <f>T("   T-shirts et maillots de corps, en bonneterie, de coton,")</f>
        <v xml:space="preserve">   T-shirts et maillots de corps, en bonneterie, de coton,</v>
      </c>
      <c r="C8223">
        <v>9267403</v>
      </c>
      <c r="D8223">
        <v>5058</v>
      </c>
    </row>
    <row r="8224" spans="1:4" x14ac:dyDescent="0.25">
      <c r="A8224" t="str">
        <f>T("   610990")</f>
        <v xml:space="preserve">   610990</v>
      </c>
      <c r="B8224" t="str">
        <f>T("   T-shirts et maillots de corps, en bonneterie, de matières textiles (sauf de coton)")</f>
        <v xml:space="preserve">   T-shirts et maillots de corps, en bonneterie, de matières textiles (sauf de coton)</v>
      </c>
      <c r="C8224">
        <v>4498573</v>
      </c>
      <c r="D8224">
        <v>266</v>
      </c>
    </row>
    <row r="8225" spans="1:4" x14ac:dyDescent="0.25">
      <c r="A8225" t="str">
        <f>T("   611120")</f>
        <v xml:space="preserve">   611120</v>
      </c>
      <c r="B8225" t="str">
        <f>T("   Vêtements et accessoires du vêtement, en bonneterie, de coton, pour bébés (sauf gants et bonnets)")</f>
        <v xml:space="preserve">   Vêtements et accessoires du vêtement, en bonneterie, de coton, pour bébés (sauf gants et bonnets)</v>
      </c>
      <c r="C8225">
        <v>78059</v>
      </c>
      <c r="D8225">
        <v>42</v>
      </c>
    </row>
    <row r="8226" spans="1:4" x14ac:dyDescent="0.25">
      <c r="A8226" t="str">
        <f>T("   620342")</f>
        <v xml:space="preserve">   620342</v>
      </c>
      <c r="B8226" t="str">
        <f>T("   Pantalons, y.c. knickers et pantalons simil., salopettes à bretelles, culottes et shorts, de coton, pour hommes ou garçonnets (autres qu'en bonneterie et sauf slips et caleçons ainsi que maillots, culottes et slips de bain)")</f>
        <v xml:space="preserve">   Pantalons, y.c. knickers et pantalons simil., salopettes à bretelles, culottes et shorts, de coton, pour hommes ou garçonnets (autres qu'en bonneterie et sauf slips et caleçons ainsi que maillots, culottes et slips de bain)</v>
      </c>
      <c r="C8226">
        <v>1327663</v>
      </c>
      <c r="D8226">
        <v>725</v>
      </c>
    </row>
    <row r="8227" spans="1:4" x14ac:dyDescent="0.25">
      <c r="A8227" t="str">
        <f>T("   620349")</f>
        <v xml:space="preserve">   620349</v>
      </c>
      <c r="B8227" t="s">
        <v>266</v>
      </c>
      <c r="C8227">
        <v>3287015</v>
      </c>
      <c r="D8227">
        <v>194</v>
      </c>
    </row>
    <row r="8228" spans="1:4" x14ac:dyDescent="0.25">
      <c r="A8228" t="str">
        <f>T("   620590")</f>
        <v xml:space="preserve">   620590</v>
      </c>
      <c r="B8228"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8228">
        <v>3715357</v>
      </c>
      <c r="D8228">
        <v>220</v>
      </c>
    </row>
    <row r="8229" spans="1:4" x14ac:dyDescent="0.25">
      <c r="A8229" t="str">
        <f>T("   620791")</f>
        <v xml:space="preserve">   620791</v>
      </c>
      <c r="B8229" t="str">
        <f>T("   GILETS DE CORPS, PEIGNOIRS DE BAIN, ROBES DE CHAMBRE ET ARTICLES SIMIL., DE COTON, POUR HOMMES OU GARÇONNETS (AUTRES QU'EN BONNETERIE ET SAUF SLIPS ET CALETHONS, CHEMISES DE NUIT ET PYJAMAS)")</f>
        <v xml:space="preserve">   GILETS DE CORPS, PEIGNOIRS DE BAIN, ROBES DE CHAMBRE ET ARTICLES SIMIL., DE COTON, POUR HOMMES OU GARÇONNETS (AUTRES QU'EN BONNETERIE ET SAUF SLIPS ET CALETHONS, CHEMISES DE NUIT ET PYJAMAS)</v>
      </c>
      <c r="C8229">
        <v>47229</v>
      </c>
      <c r="D8229">
        <v>25</v>
      </c>
    </row>
    <row r="8230" spans="1:4" x14ac:dyDescent="0.25">
      <c r="A8230" t="str">
        <f>T("   620799")</f>
        <v xml:space="preserve">   620799</v>
      </c>
      <c r="B8230" t="str">
        <f>T("   GILETS DE CORPS, PEIGNOIRS DE BAIN, ROBES DE CHAMBRE ET ARTICLES SIMIL., DE MATIÈRES TEXTILES, POUR HOMMES OU GARÇONNETS (AUTRES QUE DE COTON ET AUTRES QU'EN BONNETERIE ET SAUF SLIPS ET CALEÇONS, CHEMISES DE NUIT ET PYJAMAS)")</f>
        <v xml:space="preserve">   GILETS DE CORPS, PEIGNOIRS DE BAIN, ROBES DE CHAMBRE ET ARTICLES SIMIL., DE MATIÈRES TEXTILES, POUR HOMMES OU GARÇONNETS (AUTRES QUE DE COTON ET AUTRES QU'EN BONNETERIE ET SAUF SLIPS ET CALEÇONS, CHEMISES DE NUIT ET PYJAMAS)</v>
      </c>
      <c r="C8230">
        <v>1556593</v>
      </c>
      <c r="D8230">
        <v>93</v>
      </c>
    </row>
    <row r="8231" spans="1:4" x14ac:dyDescent="0.25">
      <c r="A8231" t="str">
        <f>T("   630260")</f>
        <v xml:space="preserve">   630260</v>
      </c>
      <c r="B8231" t="str">
        <f>T("   Linge de toilette ou de cuisine, bouclé du genre éponge, de coton (sauf serpillières, chiffons à parquet, lavettes et chamoisettes)")</f>
        <v xml:space="preserve">   Linge de toilette ou de cuisine, bouclé du genre éponge, de coton (sauf serpillières, chiffons à parquet, lavettes et chamoisettes)</v>
      </c>
      <c r="C8231">
        <v>282718</v>
      </c>
      <c r="D8231">
        <v>154</v>
      </c>
    </row>
    <row r="8232" spans="1:4" x14ac:dyDescent="0.25">
      <c r="A8232" t="str">
        <f>T("   630533")</f>
        <v xml:space="preserve">   630533</v>
      </c>
      <c r="B8232" t="str">
        <f>T("   Sacs et sachets d'emballage obtenus à partir de lames ou formes simil., de polyéthylène ou polypropylène (à l'excl. des contenants souples pour matières en vrac)")</f>
        <v xml:space="preserve">   Sacs et sachets d'emballage obtenus à partir de lames ou formes simil., de polyéthylène ou polypropylène (à l'excl. des contenants souples pour matières en vrac)</v>
      </c>
      <c r="C8232">
        <v>425960</v>
      </c>
      <c r="D8232">
        <v>3800</v>
      </c>
    </row>
    <row r="8233" spans="1:4" x14ac:dyDescent="0.25">
      <c r="A8233" t="str">
        <f>T("   640299")</f>
        <v xml:space="preserve">   640299</v>
      </c>
      <c r="B8233" t="s">
        <v>283</v>
      </c>
      <c r="C8233">
        <v>144312</v>
      </c>
      <c r="D8233">
        <v>78</v>
      </c>
    </row>
    <row r="8234" spans="1:4" x14ac:dyDescent="0.25">
      <c r="A8234" t="str">
        <f>T("   730630")</f>
        <v xml:space="preserve">   730630</v>
      </c>
      <c r="B8234" t="s">
        <v>351</v>
      </c>
      <c r="C8234">
        <v>28749017</v>
      </c>
      <c r="D8234">
        <v>75000</v>
      </c>
    </row>
    <row r="8235" spans="1:4" x14ac:dyDescent="0.25">
      <c r="A8235" t="str">
        <f>T("   870323")</f>
        <v xml:space="preserve">   870323</v>
      </c>
      <c r="B8235" t="s">
        <v>481</v>
      </c>
      <c r="C8235">
        <v>13009655</v>
      </c>
      <c r="D8235">
        <v>2412</v>
      </c>
    </row>
    <row r="8236" spans="1:4" x14ac:dyDescent="0.25">
      <c r="A8236" t="str">
        <f>T("   870421")</f>
        <v xml:space="preserve">   870421</v>
      </c>
      <c r="B8236" t="s">
        <v>486</v>
      </c>
      <c r="C8236">
        <v>6274119</v>
      </c>
      <c r="D8236">
        <v>1206</v>
      </c>
    </row>
    <row r="8237" spans="1:4" x14ac:dyDescent="0.25">
      <c r="A8237" t="str">
        <f>T("MY")</f>
        <v>MY</v>
      </c>
      <c r="B8237" t="str">
        <f>T("Malaisie")</f>
        <v>Malaisie</v>
      </c>
    </row>
    <row r="8238" spans="1:4" x14ac:dyDescent="0.25">
      <c r="A8238" t="str">
        <f>T("   ZZ_Total_Produit_SH6")</f>
        <v xml:space="preserve">   ZZ_Total_Produit_SH6</v>
      </c>
      <c r="B8238" t="str">
        <f>T("   ZZ_Total_Produit_SH6")</f>
        <v xml:space="preserve">   ZZ_Total_Produit_SH6</v>
      </c>
      <c r="C8238">
        <v>58772141672.210999</v>
      </c>
      <c r="D8238">
        <v>198143138</v>
      </c>
    </row>
    <row r="8239" spans="1:4" x14ac:dyDescent="0.25">
      <c r="A8239" t="str">
        <f>T("   040120")</f>
        <v xml:space="preserve">   040120</v>
      </c>
      <c r="B8239" t="str">
        <f>T("   LAIT ET CRÈME DE LAIT, NON-CONCENTRÉS NI ADDITIONNÉS DE SUCRE OU D'AUTRES ÉDULCORANTS, D'UNE TENEUR EN POIDS DE MATIÈRES GRASSES &gt; 1% MAIS &lt;= 6%")</f>
        <v xml:space="preserve">   LAIT ET CRÈME DE LAIT, NON-CONCENTRÉS NI ADDITIONNÉS DE SUCRE OU D'AUTRES ÉDULCORANTS, D'UNE TENEUR EN POIDS DE MATIÈRES GRASSES &gt; 1% MAIS &lt;= 6%</v>
      </c>
      <c r="C8239">
        <v>50580000</v>
      </c>
      <c r="D8239">
        <v>80100</v>
      </c>
    </row>
    <row r="8240" spans="1:4" x14ac:dyDescent="0.25">
      <c r="A8240" t="str">
        <f>T("   040299")</f>
        <v xml:space="preserve">   040299</v>
      </c>
      <c r="B8240" t="str">
        <f>T("   Lait et crème de lait, concentrés, additionnés de sucre ou d'autres édulcorants (à l'excl. des laits et crèmes de lait en poudre, en granulés ou sous d'autres formes solides)")</f>
        <v xml:space="preserve">   Lait et crème de lait, concentrés, additionnés de sucre ou d'autres édulcorants (à l'excl. des laits et crèmes de lait en poudre, en granulés ou sous d'autres formes solides)</v>
      </c>
      <c r="C8240">
        <v>13119200</v>
      </c>
      <c r="D8240">
        <v>50000</v>
      </c>
    </row>
    <row r="8241" spans="1:4" x14ac:dyDescent="0.25">
      <c r="A8241" t="str">
        <f>T("   090111")</f>
        <v xml:space="preserve">   090111</v>
      </c>
      <c r="B8241" t="str">
        <f>T("   Café, non torréfié, non décaféiné")</f>
        <v xml:space="preserve">   Café, non torréfié, non décaféiné</v>
      </c>
      <c r="C8241">
        <v>484754</v>
      </c>
      <c r="D8241">
        <v>3287</v>
      </c>
    </row>
    <row r="8242" spans="1:4" x14ac:dyDescent="0.25">
      <c r="A8242" t="str">
        <f>T("   090190")</f>
        <v xml:space="preserve">   090190</v>
      </c>
      <c r="B8242" t="str">
        <f>T("   Coques et pellicules de café; succédanés du café contenant du café, quelles que soient les proportions du mélange")</f>
        <v xml:space="preserve">   Coques et pellicules de café; succédanés du café contenant du café, quelles que soient les proportions du mélange</v>
      </c>
      <c r="C8242">
        <v>1542044</v>
      </c>
      <c r="D8242">
        <v>6432</v>
      </c>
    </row>
    <row r="8243" spans="1:4" x14ac:dyDescent="0.25">
      <c r="A8243" t="str">
        <f>T("   090240")</f>
        <v xml:space="preserve">   090240</v>
      </c>
      <c r="B8243" t="s">
        <v>26</v>
      </c>
      <c r="C8243">
        <v>1300000</v>
      </c>
      <c r="D8243">
        <v>3382</v>
      </c>
    </row>
    <row r="8244" spans="1:4" x14ac:dyDescent="0.25">
      <c r="A8244" t="str">
        <f>T("   150810")</f>
        <v xml:space="preserve">   150810</v>
      </c>
      <c r="B8244" t="str">
        <f>T("   Huile d'arachide, brute")</f>
        <v xml:space="preserve">   Huile d'arachide, brute</v>
      </c>
      <c r="C8244">
        <v>88002299</v>
      </c>
      <c r="D8244">
        <v>462000</v>
      </c>
    </row>
    <row r="8245" spans="1:4" x14ac:dyDescent="0.25">
      <c r="A8245" t="str">
        <f>T("   150890")</f>
        <v xml:space="preserve">   150890</v>
      </c>
      <c r="B8245" t="str">
        <f>T("   Huile d'arachide et ses fractions, même raffinées, mais non chimiquement modifiées (à l'excl. de l'huile d'arachide brute)")</f>
        <v xml:space="preserve">   Huile d'arachide et ses fractions, même raffinées, mais non chimiquement modifiées (à l'excl. de l'huile d'arachide brute)</v>
      </c>
      <c r="C8245">
        <v>6021766738.8500004</v>
      </c>
      <c r="D8245">
        <v>18919474</v>
      </c>
    </row>
    <row r="8246" spans="1:4" x14ac:dyDescent="0.25">
      <c r="A8246" t="str">
        <f>T("   151190")</f>
        <v xml:space="preserve">   151190</v>
      </c>
      <c r="B8246" t="str">
        <f>T("   Huile de palme et ses fractions, même raffinées, mais non chimiquement modifiées (à l'excl. de l'huile de palme brute)")</f>
        <v xml:space="preserve">   Huile de palme et ses fractions, même raffinées, mais non chimiquement modifiées (à l'excl. de l'huile de palme brute)</v>
      </c>
      <c r="C8246">
        <v>47464863884.361</v>
      </c>
      <c r="D8246">
        <v>154694484</v>
      </c>
    </row>
    <row r="8247" spans="1:4" x14ac:dyDescent="0.25">
      <c r="A8247" t="str">
        <f>T("   151321")</f>
        <v xml:space="preserve">   151321</v>
      </c>
      <c r="B8247" t="str">
        <f>T("   Huiles de palmiste ou de babassu, brutes")</f>
        <v xml:space="preserve">   Huiles de palmiste ou de babassu, brutes</v>
      </c>
      <c r="C8247">
        <v>264003083</v>
      </c>
      <c r="D8247">
        <v>1312187</v>
      </c>
    </row>
    <row r="8248" spans="1:4" x14ac:dyDescent="0.25">
      <c r="A8248" t="str">
        <f>T("   151329")</f>
        <v xml:space="preserve">   151329</v>
      </c>
      <c r="B8248" t="str">
        <f>T("   Huiles de palmiste ou de babassu et leurs fractions, même raffinées, mais non chimiquement modifiées (à l'excl. des huiles brutes)")</f>
        <v xml:space="preserve">   Huiles de palmiste ou de babassu et leurs fractions, même raffinées, mais non chimiquement modifiées (à l'excl. des huiles brutes)</v>
      </c>
      <c r="C8248">
        <v>44000000</v>
      </c>
      <c r="D8248">
        <v>248376</v>
      </c>
    </row>
    <row r="8249" spans="1:4" x14ac:dyDescent="0.25">
      <c r="A8249" t="str">
        <f>T("   151620")</f>
        <v xml:space="preserve">   151620</v>
      </c>
      <c r="B8249"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8249">
        <v>4244960541</v>
      </c>
      <c r="D8249">
        <v>21135198</v>
      </c>
    </row>
    <row r="8250" spans="1:4" x14ac:dyDescent="0.25">
      <c r="A8250" t="str">
        <f>T("   180690")</f>
        <v xml:space="preserve">   180690</v>
      </c>
      <c r="B8250" t="str">
        <f>T("   Chocolat et autres préparations alimentaires contenant du cacao, en récipients ou en emballages immédiats d'un contenu &lt;= 2 kg (à l'excl. de la poudre de cacao et des produits présentés en tablettes, barres ou bâtons)")</f>
        <v xml:space="preserve">   Chocolat et autres préparations alimentaires contenant du cacao, en récipients ou en emballages immédiats d'un contenu &lt;= 2 kg (à l'excl. de la poudre de cacao et des produits présentés en tablettes, barres ou bâtons)</v>
      </c>
      <c r="C8250">
        <v>3842000</v>
      </c>
      <c r="D8250">
        <v>8523</v>
      </c>
    </row>
    <row r="8251" spans="1:4" x14ac:dyDescent="0.25">
      <c r="A8251" t="str">
        <f>T("   190190")</f>
        <v xml:space="preserve">   190190</v>
      </c>
      <c r="B8251" t="s">
        <v>49</v>
      </c>
      <c r="C8251">
        <v>183059826</v>
      </c>
      <c r="D8251">
        <v>631402</v>
      </c>
    </row>
    <row r="8252" spans="1:4" x14ac:dyDescent="0.25">
      <c r="A8252" t="str">
        <f>T("   190531")</f>
        <v xml:space="preserve">   190531</v>
      </c>
      <c r="B8252" t="str">
        <f>T("   Biscuits additionnés d'édulcorants")</f>
        <v xml:space="preserve">   Biscuits additionnés d'édulcorants</v>
      </c>
      <c r="C8252">
        <v>29550225</v>
      </c>
      <c r="D8252">
        <v>48501</v>
      </c>
    </row>
    <row r="8253" spans="1:4" x14ac:dyDescent="0.25">
      <c r="A8253" t="str">
        <f>T("   190590")</f>
        <v xml:space="preserve">   190590</v>
      </c>
      <c r="B8253" t="s">
        <v>51</v>
      </c>
      <c r="C8253">
        <v>1442191</v>
      </c>
      <c r="D8253">
        <v>5725</v>
      </c>
    </row>
    <row r="8254" spans="1:4" x14ac:dyDescent="0.25">
      <c r="A8254" t="str">
        <f>T("   220290")</f>
        <v xml:space="preserve">   220290</v>
      </c>
      <c r="B8254" t="str">
        <f>T("   BOISSONS NON-ALCOOLIQUES (À L'EXCL. DES EAUX, DES JUS DE FRUITS OU DE LÉGUMES AINSI QUE DU LAIT)")</f>
        <v xml:space="preserve">   BOISSONS NON-ALCOOLIQUES (À L'EXCL. DES EAUX, DES JUS DE FRUITS OU DE LÉGUMES AINSI QUE DU LAIT)</v>
      </c>
      <c r="C8254">
        <v>2030047</v>
      </c>
      <c r="D8254">
        <v>866</v>
      </c>
    </row>
    <row r="8255" spans="1:4" x14ac:dyDescent="0.25">
      <c r="A8255" t="str">
        <f>T("   271019")</f>
        <v xml:space="preserve">   271019</v>
      </c>
      <c r="B8255" t="str">
        <f>T("   Huiles moyennes et préparations, de pétrole ou de minéraux bitumineux, n.d.a.")</f>
        <v xml:space="preserve">   Huiles moyennes et préparations, de pétrole ou de minéraux bitumineux, n.d.a.</v>
      </c>
      <c r="C8255">
        <v>22023276</v>
      </c>
      <c r="D8255">
        <v>65436</v>
      </c>
    </row>
    <row r="8256" spans="1:4" x14ac:dyDescent="0.25">
      <c r="A8256" t="str">
        <f>T("   300310")</f>
        <v xml:space="preserve">   300310</v>
      </c>
      <c r="B8256" t="str">
        <f>T("   Médicaments contenant des pénicillines ou des dérivés de ces produits, à structure d'acide pénicillanique, ou des streptomycines ou des dérivés de ces produits, non présentés sous forme de doses, ni conditionnés pour la vente au détail")</f>
        <v xml:space="preserve">   Médicaments contenant des pénicillines ou des dérivés de ces produits, à structure d'acide pénicillanique, ou des streptomycines ou des dérivés de ces produits, non présentés sous forme de doses, ni conditionnés pour la vente au détail</v>
      </c>
      <c r="C8256">
        <v>14561301</v>
      </c>
      <c r="D8256">
        <v>1664</v>
      </c>
    </row>
    <row r="8257" spans="1:4" x14ac:dyDescent="0.25">
      <c r="A8257" t="str">
        <f>T("   321000")</f>
        <v xml:space="preserve">   321000</v>
      </c>
      <c r="B8257" t="str">
        <f>T("   Peintures et vernis (à l'excl. des produits à base de polymères synthétiques ou de polymères naturels modifiés); pigments à l'eau préparés des types utilisés pour le finissage des cuirs")</f>
        <v xml:space="preserve">   Peintures et vernis (à l'excl. des produits à base de polymères synthétiques ou de polymères naturels modifiés); pigments à l'eau préparés des types utilisés pour le finissage des cuirs</v>
      </c>
      <c r="C8257">
        <v>19457988</v>
      </c>
      <c r="D8257">
        <v>5828</v>
      </c>
    </row>
    <row r="8258" spans="1:4" x14ac:dyDescent="0.25">
      <c r="A8258" t="str">
        <f>T("   330730")</f>
        <v xml:space="preserve">   330730</v>
      </c>
      <c r="B8258" t="str">
        <f>T("   Sels parfumés et autres préparations pour bains")</f>
        <v xml:space="preserve">   Sels parfumés et autres préparations pour bains</v>
      </c>
      <c r="C8258">
        <v>1318192</v>
      </c>
      <c r="D8258">
        <v>643</v>
      </c>
    </row>
    <row r="8259" spans="1:4" x14ac:dyDescent="0.25">
      <c r="A8259" t="str">
        <f>T("   330749")</f>
        <v xml:space="preserve">   330749</v>
      </c>
      <c r="B8259" t="str">
        <f>T("   Préparations pour parfumer ou pour désodoriser les locaux, y.c. les préparations odoriférantes pour cérémonies religieuses (à l'excl. de l'agarbatti et des autres préparations odoriférantes agissant par combustion)")</f>
        <v xml:space="preserve">   Préparations pour parfumer ou pour désodoriser les locaux, y.c. les préparations odoriférantes pour cérémonies religieuses (à l'excl. de l'agarbatti et des autres préparations odoriférantes agissant par combustion)</v>
      </c>
      <c r="C8259">
        <v>189521</v>
      </c>
      <c r="D8259">
        <v>399</v>
      </c>
    </row>
    <row r="8260" spans="1:4" x14ac:dyDescent="0.25">
      <c r="A8260" t="str">
        <f>T("   340111")</f>
        <v xml:space="preserve">   340111</v>
      </c>
      <c r="B8260" t="s">
        <v>102</v>
      </c>
      <c r="C8260">
        <v>7954663</v>
      </c>
      <c r="D8260">
        <v>37358</v>
      </c>
    </row>
    <row r="8261" spans="1:4" x14ac:dyDescent="0.25">
      <c r="A8261" t="str">
        <f>T("   340130")</f>
        <v xml:space="preserve">   340130</v>
      </c>
      <c r="B8261" t="str">
        <f>T("   Produits et préparations organiques tensio-actifs destinés au lavage de la peau, sous forme de liquide ou de crème, conditionnés pour la vente au détail, même contenant  du savon")</f>
        <v xml:space="preserve">   Produits et préparations organiques tensio-actifs destinés au lavage de la peau, sous forme de liquide ou de crème, conditionnés pour la vente au détail, même contenant  du savon</v>
      </c>
      <c r="C8261">
        <v>1577205</v>
      </c>
      <c r="D8261">
        <v>1645</v>
      </c>
    </row>
    <row r="8262" spans="1:4" x14ac:dyDescent="0.25">
      <c r="A8262" t="str">
        <f>T("   340220")</f>
        <v xml:space="preserve">   340220</v>
      </c>
      <c r="B8262" t="s">
        <v>104</v>
      </c>
      <c r="C8262">
        <v>11930968</v>
      </c>
      <c r="D8262">
        <v>21931</v>
      </c>
    </row>
    <row r="8263" spans="1:4" x14ac:dyDescent="0.25">
      <c r="A8263" t="str">
        <f>T("   340290")</f>
        <v xml:space="preserve">   340290</v>
      </c>
      <c r="B8263" t="s">
        <v>105</v>
      </c>
      <c r="C8263">
        <v>2718828</v>
      </c>
      <c r="D8263">
        <v>7359</v>
      </c>
    </row>
    <row r="8264" spans="1:4" x14ac:dyDescent="0.25">
      <c r="A8264" t="str">
        <f>T("   340530")</f>
        <v xml:space="preserve">   340530</v>
      </c>
      <c r="B8264" t="s">
        <v>111</v>
      </c>
      <c r="C8264">
        <v>147462</v>
      </c>
      <c r="D8264">
        <v>125</v>
      </c>
    </row>
    <row r="8265" spans="1:4" x14ac:dyDescent="0.25">
      <c r="A8265" t="str">
        <f>T("   370790")</f>
        <v xml:space="preserve">   370790</v>
      </c>
      <c r="B8265" t="s">
        <v>118</v>
      </c>
      <c r="C8265">
        <v>3060000</v>
      </c>
      <c r="D8265">
        <v>11679</v>
      </c>
    </row>
    <row r="8266" spans="1:4" x14ac:dyDescent="0.25">
      <c r="A8266" t="str">
        <f>T("   380991")</f>
        <v xml:space="preserve">   380991</v>
      </c>
      <c r="B8266" t="s">
        <v>121</v>
      </c>
      <c r="C8266">
        <v>200541</v>
      </c>
      <c r="D8266">
        <v>528</v>
      </c>
    </row>
    <row r="8267" spans="1:4" x14ac:dyDescent="0.25">
      <c r="A8267" t="str">
        <f>T("   382490")</f>
        <v xml:space="preserve">   382490</v>
      </c>
      <c r="B8267" t="str">
        <f>T("   Produits chimiques et préparations des industries chimiques ou des industries connexes, y.c. celles consistant en mélanges de produits naturels, n.d.a.")</f>
        <v xml:space="preserve">   Produits chimiques et préparations des industries chimiques ou des industries connexes, y.c. celles consistant en mélanges de produits naturels, n.d.a.</v>
      </c>
      <c r="C8267">
        <v>3353451</v>
      </c>
      <c r="D8267">
        <v>1817</v>
      </c>
    </row>
    <row r="8268" spans="1:4" x14ac:dyDescent="0.25">
      <c r="A8268" t="str">
        <f>T("   391739")</f>
        <v xml:space="preserve">   391739</v>
      </c>
      <c r="B8268" t="str">
        <f>T("   TUBES ET TUYAUX SOUPLES, EN MATIÈRES PLASTIQUES, RENFORCÉS D'AUTRES MATIÈRES OU ASSOCIÉS À D'AUTRES MATIÈRES (À L'EXCL. DES PRODUITS POUVANT SUPPORTER UNE PRESSION &gt;= 27,6 MPA)")</f>
        <v xml:space="preserve">   TUBES ET TUYAUX SOUPLES, EN MATIÈRES PLASTIQUES, RENFORCÉS D'AUTRES MATIÈRES OU ASSOCIÉS À D'AUTRES MATIÈRES (À L'EXCL. DES PRODUITS POUVANT SUPPORTER UNE PRESSION &gt;= 27,6 MPA)</v>
      </c>
      <c r="C8268">
        <v>51403</v>
      </c>
      <c r="D8268">
        <v>12</v>
      </c>
    </row>
    <row r="8269" spans="1:4" x14ac:dyDescent="0.25">
      <c r="A8269" t="str">
        <f>T("   401511")</f>
        <v xml:space="preserve">   401511</v>
      </c>
      <c r="B8269" t="str">
        <f>T("   Gants en caoutchouc vulcanisé non durci, pour la chirurgie")</f>
        <v xml:space="preserve">   Gants en caoutchouc vulcanisé non durci, pour la chirurgie</v>
      </c>
      <c r="C8269">
        <v>27748518</v>
      </c>
      <c r="D8269">
        <v>43020</v>
      </c>
    </row>
    <row r="8270" spans="1:4" x14ac:dyDescent="0.25">
      <c r="A8270" t="str">
        <f>T("   480910")</f>
        <v xml:space="preserve">   480910</v>
      </c>
      <c r="B8270" t="str">
        <f>T("   Papiers carbone et papiers simil., même imprimés, en rouleaux d'une largeur &gt; 36 cm ou en feuilles de forme carrée ou rectangulaire dont un côté au moins &gt; 36 cm à l'état non plié")</f>
        <v xml:space="preserve">   Papiers carbone et papiers simil., même imprimés, en rouleaux d'une largeur &gt; 36 cm ou en feuilles de forme carrée ou rectangulaire dont un côté au moins &gt; 36 cm à l'état non plié</v>
      </c>
      <c r="C8270">
        <v>1013279</v>
      </c>
      <c r="D8270">
        <v>573</v>
      </c>
    </row>
    <row r="8271" spans="1:4" x14ac:dyDescent="0.25">
      <c r="A8271" t="str">
        <f>T("   481910")</f>
        <v xml:space="preserve">   481910</v>
      </c>
      <c r="B8271" t="str">
        <f>T("   Boîtes et caisses en papier ou en carton ondulé")</f>
        <v xml:space="preserve">   Boîtes et caisses en papier ou en carton ondulé</v>
      </c>
      <c r="C8271">
        <v>109288</v>
      </c>
      <c r="D8271">
        <v>403</v>
      </c>
    </row>
    <row r="8272" spans="1:4" x14ac:dyDescent="0.25">
      <c r="A8272" t="str">
        <f>T("   481920")</f>
        <v xml:space="preserve">   481920</v>
      </c>
      <c r="B8272" t="str">
        <f>T("   Boîtes et cartonnages, pliants, en papier ou en carton non ondulé")</f>
        <v xml:space="preserve">   Boîtes et cartonnages, pliants, en papier ou en carton non ondulé</v>
      </c>
      <c r="C8272">
        <v>233</v>
      </c>
      <c r="D8272">
        <v>50</v>
      </c>
    </row>
    <row r="8273" spans="1:4" x14ac:dyDescent="0.25">
      <c r="A8273" t="str">
        <f>T("   491110")</f>
        <v xml:space="preserve">   491110</v>
      </c>
      <c r="B8273" t="str">
        <f>T("   Imprimés publicitaires, catalogues commerciaux et simil.")</f>
        <v xml:space="preserve">   Imprimés publicitaires, catalogues commerciaux et simil.</v>
      </c>
      <c r="C8273">
        <v>26173</v>
      </c>
      <c r="D8273">
        <v>2.5</v>
      </c>
    </row>
    <row r="8274" spans="1:4" x14ac:dyDescent="0.25">
      <c r="A8274" t="str">
        <f>T("   630900")</f>
        <v xml:space="preserve">   630900</v>
      </c>
      <c r="B8274" t="s">
        <v>278</v>
      </c>
      <c r="C8274">
        <v>97627162</v>
      </c>
      <c r="D8274">
        <v>203894</v>
      </c>
    </row>
    <row r="8275" spans="1:4" x14ac:dyDescent="0.25">
      <c r="A8275" t="str">
        <f>T("   830140")</f>
        <v xml:space="preserve">   830140</v>
      </c>
      <c r="B8275" t="str">
        <f>T("   Serrures et verrous, en métaux communs (autres que cadenas et serrures des types utilisés pour véhicules automobiles ou meubles)")</f>
        <v xml:space="preserve">   Serrures et verrous, en métaux communs (autres que cadenas et serrures des types utilisés pour véhicules automobiles ou meubles)</v>
      </c>
      <c r="C8275">
        <v>298631</v>
      </c>
      <c r="D8275">
        <v>66</v>
      </c>
    </row>
    <row r="8276" spans="1:4" x14ac:dyDescent="0.25">
      <c r="A8276" t="str">
        <f>T("   830220")</f>
        <v xml:space="preserve">   830220</v>
      </c>
      <c r="B8276" t="str">
        <f>T("   Roulettes avec monture en métaux communs")</f>
        <v xml:space="preserve">   Roulettes avec monture en métaux communs</v>
      </c>
      <c r="C8276">
        <v>46976</v>
      </c>
      <c r="D8276">
        <v>10</v>
      </c>
    </row>
    <row r="8277" spans="1:4" x14ac:dyDescent="0.25">
      <c r="A8277" t="str">
        <f>T("   830241")</f>
        <v xml:space="preserve">   830241</v>
      </c>
      <c r="B8277" t="str">
        <f>T("   Garnitures, ferrures et simil., pour bâtiments, en métaux communs (sauf serrures et verrous de sûreté à clef et sauf charnières)")</f>
        <v xml:space="preserve">   Garnitures, ferrures et simil., pour bâtiments, en métaux communs (sauf serrures et verrous de sûreté à clef et sauf charnières)</v>
      </c>
      <c r="C8277">
        <v>33013</v>
      </c>
      <c r="D8277">
        <v>78</v>
      </c>
    </row>
    <row r="8278" spans="1:4" x14ac:dyDescent="0.25">
      <c r="A8278" t="str">
        <f>T("   842839")</f>
        <v xml:space="preserve">   842839</v>
      </c>
      <c r="B8278" t="str">
        <f>T("   Appareils élévateurs, transporteurs ou convoyeurs pour marchandises, à action continue (autres que conçus pour mines au fond ou pour autres travaux souterrains, autres qu'à benne, à bande ou à courroie et autres que pneumatiques)")</f>
        <v xml:space="preserve">   Appareils élévateurs, transporteurs ou convoyeurs pour marchandises, à action continue (autres que conçus pour mines au fond ou pour autres travaux souterrains, autres qu'à benne, à bande ou à courroie et autres que pneumatiques)</v>
      </c>
      <c r="C8278">
        <v>17358068</v>
      </c>
      <c r="D8278">
        <v>2885</v>
      </c>
    </row>
    <row r="8279" spans="1:4" x14ac:dyDescent="0.25">
      <c r="A8279" t="str">
        <f>T("   843120")</f>
        <v xml:space="preserve">   843120</v>
      </c>
      <c r="B8279" t="str">
        <f>T("   Parties de chariots-gerbeurs et autres chariots de manutention munis d'un dispositif de levage, n.d.a.")</f>
        <v xml:space="preserve">   Parties de chariots-gerbeurs et autres chariots de manutention munis d'un dispositif de levage, n.d.a.</v>
      </c>
      <c r="C8279">
        <v>2166636</v>
      </c>
      <c r="D8279">
        <v>19</v>
      </c>
    </row>
    <row r="8280" spans="1:4" x14ac:dyDescent="0.25">
      <c r="A8280" t="str">
        <f>T("   843149")</f>
        <v xml:space="preserve">   843149</v>
      </c>
      <c r="B8280" t="str">
        <f>T("   Parties de machines et appareils du n° 8426, 8429 ou 8430, n.d.a.")</f>
        <v xml:space="preserve">   Parties de machines et appareils du n° 8426, 8429 ou 8430, n.d.a.</v>
      </c>
      <c r="C8280">
        <v>3318292</v>
      </c>
      <c r="D8280">
        <v>10</v>
      </c>
    </row>
    <row r="8281" spans="1:4" x14ac:dyDescent="0.25">
      <c r="A8281" t="str">
        <f>T("   851679")</f>
        <v xml:space="preserve">   851679</v>
      </c>
      <c r="B8281" t="s">
        <v>456</v>
      </c>
      <c r="C8281">
        <v>656710</v>
      </c>
      <c r="D8281">
        <v>4787</v>
      </c>
    </row>
    <row r="8282" spans="1:4" x14ac:dyDescent="0.25">
      <c r="A8282" t="str">
        <f>T("   871419")</f>
        <v xml:space="preserve">   871419</v>
      </c>
      <c r="B8282" t="str">
        <f>T("   Parties et accessoires de motocycles, y.c. de cyclomoteurs, n.d.a.")</f>
        <v xml:space="preserve">   Parties et accessoires de motocycles, y.c. de cyclomoteurs, n.d.a.</v>
      </c>
      <c r="C8282">
        <v>1478992</v>
      </c>
      <c r="D8282">
        <v>328</v>
      </c>
    </row>
    <row r="8283" spans="1:4" x14ac:dyDescent="0.25">
      <c r="A8283" t="str">
        <f>T("   940130")</f>
        <v xml:space="preserve">   940130</v>
      </c>
      <c r="B8283" t="str">
        <f>T("   Sièges pivotants, ajustables en hauteur (à l'excl. de ceux pour la médecine, la chirurgie, l'art dentaire ou vétérinaire, ainsi que des fauteuils pour salons de coiffure)")</f>
        <v xml:space="preserve">   Sièges pivotants, ajustables en hauteur (à l'excl. de ceux pour la médecine, la chirurgie, l'art dentaire ou vétérinaire, ainsi que des fauteuils pour salons de coiffure)</v>
      </c>
      <c r="C8283">
        <v>5219642</v>
      </c>
      <c r="D8283">
        <v>2446</v>
      </c>
    </row>
    <row r="8284" spans="1:4" x14ac:dyDescent="0.25">
      <c r="A8284" t="str">
        <f>T("   940161")</f>
        <v xml:space="preserve">   940161</v>
      </c>
      <c r="B8284" t="str">
        <f>T("   Sièges, avec bâti en bois, rembourrés (non transformables en lits)")</f>
        <v xml:space="preserve">   Sièges, avec bâti en bois, rembourrés (non transformables en lits)</v>
      </c>
      <c r="C8284">
        <v>12383365</v>
      </c>
      <c r="D8284">
        <v>5315</v>
      </c>
    </row>
    <row r="8285" spans="1:4" x14ac:dyDescent="0.25">
      <c r="A8285" t="str">
        <f>T("   940171")</f>
        <v xml:space="preserve">   940171</v>
      </c>
      <c r="B8285" t="str">
        <f>T("   Sièges, avec bâti en métal, rembourrés (autres que pour véhicules aériens ou automobiles, autres que fauteuils pivotants ajustables en hauteur et autres que pour la médecine, l'art dentaire ou la chirurgie)")</f>
        <v xml:space="preserve">   Sièges, avec bâti en métal, rembourrés (autres que pour véhicules aériens ou automobiles, autres que fauteuils pivotants ajustables en hauteur et autres que pour la médecine, l'art dentaire ou la chirurgie)</v>
      </c>
      <c r="C8285">
        <v>5694199</v>
      </c>
      <c r="D8285">
        <v>14278</v>
      </c>
    </row>
    <row r="8286" spans="1:4" x14ac:dyDescent="0.25">
      <c r="A8286" t="str">
        <f>T("   940180")</f>
        <v xml:space="preserve">   940180</v>
      </c>
      <c r="B8286" t="str">
        <f>T("   Sièges, n.d.a.")</f>
        <v xml:space="preserve">   Sièges, n.d.a.</v>
      </c>
      <c r="C8286">
        <v>23691395</v>
      </c>
      <c r="D8286">
        <v>14337</v>
      </c>
    </row>
    <row r="8287" spans="1:4" x14ac:dyDescent="0.25">
      <c r="A8287" t="str">
        <f>T("   940190")</f>
        <v xml:space="preserve">   940190</v>
      </c>
      <c r="B8287" t="str">
        <f>T("   Parties de sièges, n.d.a.")</f>
        <v xml:space="preserve">   Parties de sièges, n.d.a.</v>
      </c>
      <c r="C8287">
        <v>1201731</v>
      </c>
      <c r="D8287">
        <v>93</v>
      </c>
    </row>
    <row r="8288" spans="1:4" x14ac:dyDescent="0.25">
      <c r="A8288" t="str">
        <f>T("   940310")</f>
        <v xml:space="preserve">   940310</v>
      </c>
      <c r="B8288" t="str">
        <f>T("   Meubles de bureau en métal (sauf sièges)")</f>
        <v xml:space="preserve">   Meubles de bureau en métal (sauf sièges)</v>
      </c>
      <c r="C8288">
        <v>14995175</v>
      </c>
      <c r="D8288">
        <v>19870</v>
      </c>
    </row>
    <row r="8289" spans="1:4" x14ac:dyDescent="0.25">
      <c r="A8289" t="str">
        <f>T("   940320")</f>
        <v xml:space="preserve">   940320</v>
      </c>
      <c r="B8289"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8289">
        <v>979312</v>
      </c>
      <c r="D8289">
        <v>1242</v>
      </c>
    </row>
    <row r="8290" spans="1:4" x14ac:dyDescent="0.25">
      <c r="A8290" t="str">
        <f>T("   940330")</f>
        <v xml:space="preserve">   940330</v>
      </c>
      <c r="B8290" t="str">
        <f>T("   Meubles de bureau en bois (sauf sièges)")</f>
        <v xml:space="preserve">   Meubles de bureau en bois (sauf sièges)</v>
      </c>
      <c r="C8290">
        <v>7886079</v>
      </c>
      <c r="D8290">
        <v>16868</v>
      </c>
    </row>
    <row r="8291" spans="1:4" x14ac:dyDescent="0.25">
      <c r="A8291" t="str">
        <f>T("   940340")</f>
        <v xml:space="preserve">   940340</v>
      </c>
      <c r="B8291" t="str">
        <f>T("   Meubles de cuisine, en bois (sauf sièges)")</f>
        <v xml:space="preserve">   Meubles de cuisine, en bois (sauf sièges)</v>
      </c>
      <c r="C8291">
        <v>4826039</v>
      </c>
      <c r="D8291">
        <v>6065</v>
      </c>
    </row>
    <row r="8292" spans="1:4" x14ac:dyDescent="0.25">
      <c r="A8292" t="str">
        <f>T("   940350")</f>
        <v xml:space="preserve">   940350</v>
      </c>
      <c r="B8292" t="str">
        <f>T("   Meubles pour chambres à coucher, en bois (sauf sièges)")</f>
        <v xml:space="preserve">   Meubles pour chambres à coucher, en bois (sauf sièges)</v>
      </c>
      <c r="C8292">
        <v>10922542</v>
      </c>
      <c r="D8292">
        <v>20011</v>
      </c>
    </row>
    <row r="8293" spans="1:4" x14ac:dyDescent="0.25">
      <c r="A8293" t="str">
        <f>T("   940360")</f>
        <v xml:space="preserve">   940360</v>
      </c>
      <c r="B8293" t="str">
        <f>T("   Meubles en bois (autres que pour bureaux, cuisines ou chambres à coucher et autres que sièges)")</f>
        <v xml:space="preserve">   Meubles en bois (autres que pour bureaux, cuisines ou chambres à coucher et autres que sièges)</v>
      </c>
      <c r="C8293">
        <v>3884139</v>
      </c>
      <c r="D8293">
        <v>4373</v>
      </c>
    </row>
    <row r="8294" spans="1:4" x14ac:dyDescent="0.25">
      <c r="A8294" t="str">
        <f>T("   940380")</f>
        <v xml:space="preserve">   940380</v>
      </c>
      <c r="B8294" t="str">
        <f>T("   Meubles en rotin, osier, bambou ou autres matières (sauf métal, bois et matières plastiques)")</f>
        <v xml:space="preserve">   Meubles en rotin, osier, bambou ou autres matières (sauf métal, bois et matières plastiques)</v>
      </c>
      <c r="C8294">
        <v>7039658</v>
      </c>
      <c r="D8294">
        <v>7080</v>
      </c>
    </row>
    <row r="8295" spans="1:4" x14ac:dyDescent="0.25">
      <c r="A8295" t="str">
        <f>T("   940410")</f>
        <v xml:space="preserve">   940410</v>
      </c>
      <c r="B8295" t="str">
        <f>T("   Sommiers (sauf ressorts pour sièges)")</f>
        <v xml:space="preserve">   Sommiers (sauf ressorts pour sièges)</v>
      </c>
      <c r="C8295">
        <v>1695988</v>
      </c>
      <c r="D8295">
        <v>575</v>
      </c>
    </row>
    <row r="8296" spans="1:4" x14ac:dyDescent="0.25">
      <c r="A8296" t="str">
        <f>T("   940490")</f>
        <v xml:space="preserve">   940490</v>
      </c>
      <c r="B8296" t="s">
        <v>514</v>
      </c>
      <c r="C8296">
        <v>2212502</v>
      </c>
      <c r="D8296">
        <v>802.5</v>
      </c>
    </row>
    <row r="8297" spans="1:4" x14ac:dyDescent="0.25">
      <c r="A8297" t="str">
        <f>T("   960820")</f>
        <v xml:space="preserve">   960820</v>
      </c>
      <c r="B8297" t="str">
        <f>T("   Stylos et marqueurs à mèche feutre ou à autres pointes poreuses")</f>
        <v xml:space="preserve">   Stylos et marqueurs à mèche feutre ou à autres pointes poreuses</v>
      </c>
      <c r="C8297">
        <v>14536303</v>
      </c>
      <c r="D8297">
        <v>7296</v>
      </c>
    </row>
    <row r="8298" spans="1:4" x14ac:dyDescent="0.25">
      <c r="A8298" t="str">
        <f>T("MZ")</f>
        <v>MZ</v>
      </c>
      <c r="B8298" t="str">
        <f>T("Mozambique")</f>
        <v>Mozambique</v>
      </c>
    </row>
    <row r="8299" spans="1:4" x14ac:dyDescent="0.25">
      <c r="A8299" t="str">
        <f>T("   ZZ_Total_Produit_SH6")</f>
        <v xml:space="preserve">   ZZ_Total_Produit_SH6</v>
      </c>
      <c r="B8299" t="str">
        <f>T("   ZZ_Total_Produit_SH6")</f>
        <v xml:space="preserve">   ZZ_Total_Produit_SH6</v>
      </c>
      <c r="C8299">
        <v>6767219</v>
      </c>
      <c r="D8299">
        <v>9598.5</v>
      </c>
    </row>
    <row r="8300" spans="1:4" x14ac:dyDescent="0.25">
      <c r="A8300" t="str">
        <f>T("   151530")</f>
        <v xml:space="preserve">   151530</v>
      </c>
      <c r="B8300" t="str">
        <f>T("   Huile de ricin et ses fractions, même raffinées, mais non chimiquement modifiées")</f>
        <v xml:space="preserve">   Huile de ricin et ses fractions, même raffinées, mais non chimiquement modifiées</v>
      </c>
      <c r="C8300">
        <v>30174</v>
      </c>
      <c r="D8300">
        <v>98.5</v>
      </c>
    </row>
    <row r="8301" spans="1:4" x14ac:dyDescent="0.25">
      <c r="A8301" t="str">
        <f>T("   340600")</f>
        <v xml:space="preserve">   340600</v>
      </c>
      <c r="B8301" t="str">
        <f>T("   Bougies, chandelles, cierges et articles simil.")</f>
        <v xml:space="preserve">   Bougies, chandelles, cierges et articles simil.</v>
      </c>
      <c r="C8301">
        <v>197977</v>
      </c>
      <c r="D8301">
        <v>209.38</v>
      </c>
    </row>
    <row r="8302" spans="1:4" x14ac:dyDescent="0.25">
      <c r="A8302" t="str">
        <f>T("   392490")</f>
        <v xml:space="preserve">   392490</v>
      </c>
      <c r="B8302" t="s">
        <v>151</v>
      </c>
      <c r="C8302">
        <v>700733</v>
      </c>
      <c r="D8302">
        <v>669.07</v>
      </c>
    </row>
    <row r="8303" spans="1:4" x14ac:dyDescent="0.25">
      <c r="A8303" t="str">
        <f>T("   392690")</f>
        <v xml:space="preserve">   392690</v>
      </c>
      <c r="B8303" t="str">
        <f>T("   Ouvrages en matières plastiques et ouvrages en autres matières du n° 3901 à 3914, n.d.a.")</f>
        <v xml:space="preserve">   Ouvrages en matières plastiques et ouvrages en autres matières du n° 3901 à 3914, n.d.a.</v>
      </c>
      <c r="C8303">
        <v>874377</v>
      </c>
      <c r="D8303">
        <v>603.02</v>
      </c>
    </row>
    <row r="8304" spans="1:4" x14ac:dyDescent="0.25">
      <c r="A8304" t="str">
        <f>T("   420229")</f>
        <v xml:space="preserve">   420229</v>
      </c>
      <c r="B8304"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8304">
        <v>524907</v>
      </c>
      <c r="D8304">
        <v>457.29</v>
      </c>
    </row>
    <row r="8305" spans="1:4" x14ac:dyDescent="0.25">
      <c r="A8305" t="str">
        <f>T("   482050")</f>
        <v xml:space="preserve">   482050</v>
      </c>
      <c r="B8305" t="str">
        <f>T("   Albums pour échantillonnages ou pour collections, en papier ou en carton")</f>
        <v xml:space="preserve">   Albums pour échantillonnages ou pour collections, en papier ou en carton</v>
      </c>
      <c r="C8305">
        <v>367868</v>
      </c>
      <c r="D8305">
        <v>346.26</v>
      </c>
    </row>
    <row r="8306" spans="1:4" x14ac:dyDescent="0.25">
      <c r="A8306" t="str">
        <f>T("   560490")</f>
        <v xml:space="preserve">   560490</v>
      </c>
      <c r="B8306" t="str">
        <f>T("   FILS TEXTILES, LAMES ET FORMES SIMIL. DU N° 5404 OU 5405, IMPRÉGNÉS, ENDUITS, RECOUVERTS OU GAINÉS DE CAOUTCHOUC OU DE MATIÈRE PLASTIQUE (À L'EXCL. DES IMITATIONS DE CATGUT MUNIES D'HAMEÇONS OU AUTREMENT MONTÉES EN LIGNES)")</f>
        <v xml:space="preserve">   FILS TEXTILES, LAMES ET FORMES SIMIL. DU N° 5404 OU 5405, IMPRÉGNÉS, ENDUITS, RECOUVERTS OU GAINÉS DE CAOUTCHOUC OU DE MATIÈRE PLASTIQUE (À L'EXCL. DES IMITATIONS DE CATGUT MUNIES D'HAMEÇONS OU AUTREMENT MONTÉES EN LIGNES)</v>
      </c>
      <c r="C8306">
        <v>517041</v>
      </c>
      <c r="D8306">
        <v>1481.71</v>
      </c>
    </row>
    <row r="8307" spans="1:4" x14ac:dyDescent="0.25">
      <c r="A8307" t="str">
        <f>T("   702000")</f>
        <v xml:space="preserve">   702000</v>
      </c>
      <c r="B8307" t="str">
        <f>T("   Ouvrages en verre n.d.a.")</f>
        <v xml:space="preserve">   Ouvrages en verre n.d.a.</v>
      </c>
      <c r="C8307">
        <v>378864</v>
      </c>
      <c r="D8307">
        <v>336.69</v>
      </c>
    </row>
    <row r="8308" spans="1:4" x14ac:dyDescent="0.25">
      <c r="A8308" t="str">
        <f>T("   711790")</f>
        <v xml:space="preserve">   711790</v>
      </c>
      <c r="B8308" t="str">
        <f>T("   Bijouterie de fantaisie (autre qu'en métaux communs, même argentés, dorés ou platinés)")</f>
        <v xml:space="preserve">   Bijouterie de fantaisie (autre qu'en métaux communs, même argentés, dorés ou platinés)</v>
      </c>
      <c r="C8308">
        <v>198782</v>
      </c>
      <c r="D8308">
        <v>640.59</v>
      </c>
    </row>
    <row r="8309" spans="1:4" x14ac:dyDescent="0.25">
      <c r="A8309" t="str">
        <f>T("   940520")</f>
        <v xml:space="preserve">   940520</v>
      </c>
      <c r="B8309" t="str">
        <f>T("   Lampes de chevet, lampes de bureau et lampadaires d'intérieur, électriques")</f>
        <v xml:space="preserve">   Lampes de chevet, lampes de bureau et lampadaires d'intérieur, électriques</v>
      </c>
      <c r="C8309">
        <v>276811</v>
      </c>
      <c r="D8309">
        <v>140.22999999999999</v>
      </c>
    </row>
    <row r="8310" spans="1:4" x14ac:dyDescent="0.25">
      <c r="A8310" t="str">
        <f>T("   950390")</f>
        <v xml:space="preserve">   950390</v>
      </c>
      <c r="B8310" t="str">
        <f>T("   Jouets, n.d.a.")</f>
        <v xml:space="preserve">   Jouets, n.d.a.</v>
      </c>
      <c r="C8310">
        <v>2699685</v>
      </c>
      <c r="D8310">
        <v>4615.76</v>
      </c>
    </row>
    <row r="8311" spans="1:4" x14ac:dyDescent="0.25">
      <c r="A8311" t="str">
        <f>T("NA")</f>
        <v>NA</v>
      </c>
      <c r="B8311" t="str">
        <f>T("Namibie")</f>
        <v>Namibie</v>
      </c>
    </row>
    <row r="8312" spans="1:4" x14ac:dyDescent="0.25">
      <c r="A8312" t="str">
        <f>T("   ZZ_Total_Produit_SH6")</f>
        <v xml:space="preserve">   ZZ_Total_Produit_SH6</v>
      </c>
      <c r="B8312" t="str">
        <f>T("   ZZ_Total_Produit_SH6")</f>
        <v xml:space="preserve">   ZZ_Total_Produit_SH6</v>
      </c>
      <c r="C8312">
        <v>1419497</v>
      </c>
      <c r="D8312">
        <v>12000</v>
      </c>
    </row>
    <row r="8313" spans="1:4" x14ac:dyDescent="0.25">
      <c r="A8313" t="str">
        <f>T("   401211")</f>
        <v xml:space="preserve">   401211</v>
      </c>
      <c r="B8313" t="str">
        <f>T("   Pneumatiques rechapés, en caoutchouc, des types utilisés pour les voitures de tourisme, y.c. les voitures du type 'break' et les voitures de course")</f>
        <v xml:space="preserve">   Pneumatiques rechapés, en caoutchouc, des types utilisés pour les voitures de tourisme, y.c. les voitures du type 'break' et les voitures de course</v>
      </c>
      <c r="C8313">
        <v>1260099</v>
      </c>
      <c r="D8313">
        <v>7900</v>
      </c>
    </row>
    <row r="8314" spans="1:4" x14ac:dyDescent="0.25">
      <c r="A8314" t="str">
        <f>T("   621139")</f>
        <v xml:space="preserve">   621139</v>
      </c>
      <c r="B8314" t="str">
        <f>T("   Survêtements de sport 'trainings' et autres vêtements n.d.a., de matières textiles, pour hommes ou garçonnets (autres que de laine, poils fins, coton, fibres synthétiques ou artificielles, autres qu'en bonneterie)")</f>
        <v xml:space="preserve">   Survêtements de sport 'trainings' et autres vêtements n.d.a., de matières textiles, pour hommes ou garçonnets (autres que de laine, poils fins, coton, fibres synthétiques ou artificielles, autres qu'en bonneterie)</v>
      </c>
      <c r="C8314">
        <v>159398</v>
      </c>
      <c r="D8314">
        <v>4100</v>
      </c>
    </row>
    <row r="8315" spans="1:4" x14ac:dyDescent="0.25">
      <c r="A8315" t="str">
        <f>T("NC")</f>
        <v>NC</v>
      </c>
      <c r="B8315" t="str">
        <f>T("Nouvelle-Calédonie")</f>
        <v>Nouvelle-Calédonie</v>
      </c>
    </row>
    <row r="8316" spans="1:4" x14ac:dyDescent="0.25">
      <c r="A8316" t="str">
        <f>T("   ZZ_Total_Produit_SH6")</f>
        <v xml:space="preserve">   ZZ_Total_Produit_SH6</v>
      </c>
      <c r="B8316" t="str">
        <f>T("   ZZ_Total_Produit_SH6")</f>
        <v xml:space="preserve">   ZZ_Total_Produit_SH6</v>
      </c>
      <c r="C8316">
        <v>3000000</v>
      </c>
      <c r="D8316">
        <v>2700</v>
      </c>
    </row>
    <row r="8317" spans="1:4" x14ac:dyDescent="0.25">
      <c r="A8317" t="str">
        <f>T("   620590")</f>
        <v xml:space="preserve">   620590</v>
      </c>
      <c r="B8317"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8317">
        <v>700000</v>
      </c>
      <c r="D8317">
        <v>600</v>
      </c>
    </row>
    <row r="8318" spans="1:4" x14ac:dyDescent="0.25">
      <c r="A8318" t="str">
        <f>T("   732394")</f>
        <v xml:space="preserve">   732394</v>
      </c>
      <c r="B8318" t="s">
        <v>367</v>
      </c>
      <c r="C8318">
        <v>800000</v>
      </c>
      <c r="D8318">
        <v>800</v>
      </c>
    </row>
    <row r="8319" spans="1:4" x14ac:dyDescent="0.25">
      <c r="A8319" t="str">
        <f>T("   940350")</f>
        <v xml:space="preserve">   940350</v>
      </c>
      <c r="B8319" t="str">
        <f>T("   Meubles pour chambres à coucher, en bois (sauf sièges)")</f>
        <v xml:space="preserve">   Meubles pour chambres à coucher, en bois (sauf sièges)</v>
      </c>
      <c r="C8319">
        <v>1500000</v>
      </c>
      <c r="D8319">
        <v>1300</v>
      </c>
    </row>
    <row r="8320" spans="1:4" x14ac:dyDescent="0.25">
      <c r="A8320" t="str">
        <f>T("NE")</f>
        <v>NE</v>
      </c>
      <c r="B8320" t="str">
        <f>T("Niger")</f>
        <v>Niger</v>
      </c>
    </row>
    <row r="8321" spans="1:4" x14ac:dyDescent="0.25">
      <c r="A8321" t="str">
        <f>T("   ZZ_Total_Produit_SH6")</f>
        <v xml:space="preserve">   ZZ_Total_Produit_SH6</v>
      </c>
      <c r="B8321" t="str">
        <f>T("   ZZ_Total_Produit_SH6")</f>
        <v xml:space="preserve">   ZZ_Total_Produit_SH6</v>
      </c>
      <c r="C8321">
        <v>436720014</v>
      </c>
      <c r="D8321">
        <v>455458.5</v>
      </c>
    </row>
    <row r="8322" spans="1:4" x14ac:dyDescent="0.25">
      <c r="A8322" t="str">
        <f>T("   110290")</f>
        <v xml:space="preserve">   110290</v>
      </c>
      <c r="B8322" t="str">
        <f>T("   FARINES DE CÉRÉALES (À L'EXCL. DES FARINES DE FROMENT [BLÉ], DE MÉTEIL, DE SEIGLE ET DE MAÏS)")</f>
        <v xml:space="preserve">   FARINES DE CÉRÉALES (À L'EXCL. DES FARINES DE FROMENT [BLÉ], DE MÉTEIL, DE SEIGLE ET DE MAÏS)</v>
      </c>
      <c r="C8322">
        <v>12009808</v>
      </c>
      <c r="D8322">
        <v>47000</v>
      </c>
    </row>
    <row r="8323" spans="1:4" x14ac:dyDescent="0.25">
      <c r="A8323" t="str">
        <f>T("   210410")</f>
        <v xml:space="preserve">   210410</v>
      </c>
      <c r="B8323" t="str">
        <f>T("   Préparations pour soupes, potages ou bouillons; soupes, potages ou bouillons préparés")</f>
        <v xml:space="preserve">   Préparations pour soupes, potages ou bouillons; soupes, potages ou bouillons préparés</v>
      </c>
      <c r="C8323">
        <v>24000000</v>
      </c>
      <c r="D8323">
        <v>20000</v>
      </c>
    </row>
    <row r="8324" spans="1:4" x14ac:dyDescent="0.25">
      <c r="A8324" t="str">
        <f>T("   321519")</f>
        <v xml:space="preserve">   321519</v>
      </c>
      <c r="B8324" t="str">
        <f>T("   Encres d'imprimerie, même concentrées ou sous formes solides (à l'excl. des encres noires)")</f>
        <v xml:space="preserve">   Encres d'imprimerie, même concentrées ou sous formes solides (à l'excl. des encres noires)</v>
      </c>
      <c r="C8324">
        <v>167270</v>
      </c>
      <c r="D8324">
        <v>27</v>
      </c>
    </row>
    <row r="8325" spans="1:4" x14ac:dyDescent="0.25">
      <c r="A8325" t="str">
        <f>T("   321590")</f>
        <v xml:space="preserve">   321590</v>
      </c>
      <c r="B8325" t="str">
        <f>T("   Encres à écrire et à dessiner, même concentrées ou sous formes solides")</f>
        <v xml:space="preserve">   Encres à écrire et à dessiner, même concentrées ou sous formes solides</v>
      </c>
      <c r="C8325">
        <v>243361</v>
      </c>
      <c r="D8325">
        <v>48</v>
      </c>
    </row>
    <row r="8326" spans="1:4" x14ac:dyDescent="0.25">
      <c r="A8326" t="str">
        <f>T("   520100")</f>
        <v xml:space="preserve">   520100</v>
      </c>
      <c r="B8326" t="str">
        <f>T("   COTON, NON-CARDÉ NI PEIGNÉ")</f>
        <v xml:space="preserve">   COTON, NON-CARDÉ NI PEIGNÉ</v>
      </c>
      <c r="C8326">
        <v>26477249</v>
      </c>
      <c r="D8326">
        <v>30372</v>
      </c>
    </row>
    <row r="8327" spans="1:4" x14ac:dyDescent="0.25">
      <c r="A8327" t="str">
        <f>T("   520839")</f>
        <v xml:space="preserve">   520839</v>
      </c>
      <c r="B8327" t="str">
        <f>T("   Tissus de coton, teints, contenant &gt;= 85% en poids de coton, d'un poids &lt;= 200 g/m² (à l'excl. des tissus à armure toile ou à armure sergé [y.c. le croisé] d'un rapport d'armure &lt;= 4)")</f>
        <v xml:space="preserve">   Tissus de coton, teints, contenant &gt;= 85% en poids de coton, d'un poids &lt;= 200 g/m² (à l'excl. des tissus à armure toile ou à armure sergé [y.c. le croisé] d'un rapport d'armure &lt;= 4)</v>
      </c>
      <c r="C8327">
        <v>14200814</v>
      </c>
      <c r="D8327">
        <v>13800</v>
      </c>
    </row>
    <row r="8328" spans="1:4" x14ac:dyDescent="0.25">
      <c r="A8328" t="str">
        <f>T("   520852")</f>
        <v xml:space="preserve">   520852</v>
      </c>
      <c r="B8328" t="str">
        <f>T("   Tissus de coton, imprimés, à armure toile, contenant &gt;= 85% en poids de coton, d'un poids &gt; 100 g/m² mais &lt;= 200 g/m²")</f>
        <v xml:space="preserve">   Tissus de coton, imprimés, à armure toile, contenant &gt;= 85% en poids de coton, d'un poids &gt; 100 g/m² mais &lt;= 200 g/m²</v>
      </c>
      <c r="C8328">
        <v>44223457</v>
      </c>
      <c r="D8328">
        <v>51766</v>
      </c>
    </row>
    <row r="8329" spans="1:4" x14ac:dyDescent="0.25">
      <c r="A8329" t="str">
        <f>T("   520859")</f>
        <v xml:space="preserve">   520859</v>
      </c>
      <c r="B8329" t="str">
        <f>T("   TISSUS DE COTON, IMPRIMÉS, CONTENANT &gt;= 85% EN POIDS DE COTON, D'UN POIDS &lt;= 200 G/M² (À L'EXCL. DES TISSUS À ARMURE TOILE)")</f>
        <v xml:space="preserve">   TISSUS DE COTON, IMPRIMÉS, CONTENANT &gt;= 85% EN POIDS DE COTON, D'UN POIDS &lt;= 200 G/M² (À L'EXCL. DES TISSUS À ARMURE TOILE)</v>
      </c>
      <c r="C8329">
        <v>15660365</v>
      </c>
      <c r="D8329">
        <v>14600</v>
      </c>
    </row>
    <row r="8330" spans="1:4" x14ac:dyDescent="0.25">
      <c r="A8330" t="str">
        <f>T("   520939")</f>
        <v xml:space="preserve">   520939</v>
      </c>
      <c r="B8330" t="str">
        <f>T("   Tissus de coton, teints, contenant &gt;= 85% en poids de coton, d'un poids &gt; 200 g/m² (à l'excl. des tissus à armure toile ou à armure sergé [y.c. le croisé] d'un rapport d'armure &lt;= 4)")</f>
        <v xml:space="preserve">   Tissus de coton, teints, contenant &gt;= 85% en poids de coton, d'un poids &gt; 200 g/m² (à l'excl. des tissus à armure toile ou à armure sergé [y.c. le croisé] d'un rapport d'armure &lt;= 4)</v>
      </c>
      <c r="C8330">
        <v>13404543</v>
      </c>
      <c r="D8330">
        <v>13465</v>
      </c>
    </row>
    <row r="8331" spans="1:4" x14ac:dyDescent="0.25">
      <c r="A8331" t="str">
        <f>T("   730890")</f>
        <v xml:space="preserve">   730890</v>
      </c>
      <c r="B8331" t="s">
        <v>355</v>
      </c>
      <c r="C8331">
        <v>1402480</v>
      </c>
      <c r="D8331">
        <v>13296</v>
      </c>
    </row>
    <row r="8332" spans="1:4" x14ac:dyDescent="0.25">
      <c r="A8332" t="str">
        <f>T("   731419")</f>
        <v xml:space="preserve">   731419</v>
      </c>
      <c r="B8332" t="s">
        <v>357</v>
      </c>
      <c r="C8332">
        <v>1428800</v>
      </c>
      <c r="D8332">
        <v>36808</v>
      </c>
    </row>
    <row r="8333" spans="1:4" x14ac:dyDescent="0.25">
      <c r="A8333" t="str">
        <f>T("   842940")</f>
        <v xml:space="preserve">   842940</v>
      </c>
      <c r="B8333" t="str">
        <f>T("   Rouleaux compresseurs et autres compacteuses, autopropulsés")</f>
        <v xml:space="preserve">   Rouleaux compresseurs et autres compacteuses, autopropulsés</v>
      </c>
      <c r="C8333">
        <v>47741211</v>
      </c>
      <c r="D8333">
        <v>18600</v>
      </c>
    </row>
    <row r="8334" spans="1:4" x14ac:dyDescent="0.25">
      <c r="A8334" t="str">
        <f>T("   844330")</f>
        <v xml:space="preserve">   844330</v>
      </c>
      <c r="B8334" t="str">
        <f>T("   Machines et appareils à imprimer, flexographiques")</f>
        <v xml:space="preserve">   Machines et appareils à imprimer, flexographiques</v>
      </c>
      <c r="C8334">
        <v>701877</v>
      </c>
      <c r="D8334">
        <v>138</v>
      </c>
    </row>
    <row r="8335" spans="1:4" x14ac:dyDescent="0.25">
      <c r="A8335" t="str">
        <f>T("   847180")</f>
        <v xml:space="preserve">   847180</v>
      </c>
      <c r="B8335"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8335">
        <v>497218</v>
      </c>
      <c r="D8335">
        <v>35.5</v>
      </c>
    </row>
    <row r="8336" spans="1:4" x14ac:dyDescent="0.25">
      <c r="A8336" t="str">
        <f>T("   847190")</f>
        <v xml:space="preserve">   847190</v>
      </c>
      <c r="B8336"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8336">
        <v>20154849</v>
      </c>
      <c r="D8336">
        <v>1005</v>
      </c>
    </row>
    <row r="8337" spans="1:4" x14ac:dyDescent="0.25">
      <c r="A8337" t="str">
        <f>T("   847410")</f>
        <v xml:space="preserve">   847410</v>
      </c>
      <c r="B8337" t="str">
        <f>T("   Machines et appareils à trier, cribler, séparer ou laver les matières minérales solides, y.c. -les poudres et les pâtes- (à l'excl. des centrifugeuses et des filtres-presses)")</f>
        <v xml:space="preserve">   Machines et appareils à trier, cribler, séparer ou laver les matières minérales solides, y.c. -les poudres et les pâtes- (à l'excl. des centrifugeuses et des filtres-presses)</v>
      </c>
      <c r="C8337">
        <v>3019500</v>
      </c>
      <c r="D8337">
        <v>32000</v>
      </c>
    </row>
    <row r="8338" spans="1:4" x14ac:dyDescent="0.25">
      <c r="A8338" t="str">
        <f>T("   847529")</f>
        <v xml:space="preserve">   847529</v>
      </c>
      <c r="B8338" t="str">
        <f>T("   Machines pour la fabrication ou le travail à chaud du verre ou des ouvrages en verre (à l'excl. des machines pour la fabrication des fibres optiques et de leurs ébauches, ainsi des fours et des appareils thermiques pour la production de verre trempé)")</f>
        <v xml:space="preserve">   Machines pour la fabrication ou le travail à chaud du verre ou des ouvrages en verre (à l'excl. des machines pour la fabrication des fibres optiques et de leurs ébauches, ainsi des fours et des appareils thermiques pour la production de verre trempé)</v>
      </c>
      <c r="C8338">
        <v>2508782</v>
      </c>
      <c r="D8338">
        <v>4000</v>
      </c>
    </row>
    <row r="8339" spans="1:4" x14ac:dyDescent="0.25">
      <c r="A8339" t="str">
        <f>T("   847982")</f>
        <v xml:space="preserve">   847982</v>
      </c>
      <c r="B8339" t="str">
        <f>T("   Machines et appareils à mélanger, malaxer, concasser, broyer, cribler, tamiser, homogénéiser, émulsionner ou brasser, n.d.a. (à l'excl. des robots industriels)")</f>
        <v xml:space="preserve">   Machines et appareils à mélanger, malaxer, concasser, broyer, cribler, tamiser, homogénéiser, émulsionner ou brasser, n.d.a. (à l'excl. des robots industriels)</v>
      </c>
      <c r="C8339">
        <v>185706868</v>
      </c>
      <c r="D8339">
        <v>137050</v>
      </c>
    </row>
    <row r="8340" spans="1:4" x14ac:dyDescent="0.25">
      <c r="A8340" t="str">
        <f>T("   848350")</f>
        <v xml:space="preserve">   848350</v>
      </c>
      <c r="B8340" t="str">
        <f>T("   Volants et poulies, y.c. les poulies à moufles")</f>
        <v xml:space="preserve">   Volants et poulies, y.c. les poulies à moufles</v>
      </c>
      <c r="C8340">
        <v>1738950</v>
      </c>
      <c r="D8340">
        <v>209</v>
      </c>
    </row>
    <row r="8341" spans="1:4" x14ac:dyDescent="0.25">
      <c r="A8341" t="str">
        <f>T("   870210")</f>
        <v xml:space="preserve">   870210</v>
      </c>
      <c r="B8341" t="s">
        <v>477</v>
      </c>
      <c r="C8341">
        <v>1200000</v>
      </c>
      <c r="D8341">
        <v>950</v>
      </c>
    </row>
    <row r="8342" spans="1:4" x14ac:dyDescent="0.25">
      <c r="A8342" t="str">
        <f>T("   870290")</f>
        <v xml:space="preserve">   870290</v>
      </c>
      <c r="B8342" t="s">
        <v>478</v>
      </c>
      <c r="C8342">
        <v>8249500</v>
      </c>
      <c r="D8342">
        <v>1400</v>
      </c>
    </row>
    <row r="8343" spans="1:4" x14ac:dyDescent="0.25">
      <c r="A8343" t="str">
        <f>T("   870322")</f>
        <v xml:space="preserve">   870322</v>
      </c>
      <c r="B8343" t="s">
        <v>480</v>
      </c>
      <c r="C8343">
        <v>1200000</v>
      </c>
      <c r="D8343">
        <v>980</v>
      </c>
    </row>
    <row r="8344" spans="1:4" x14ac:dyDescent="0.25">
      <c r="A8344" t="str">
        <f>T("   870323")</f>
        <v xml:space="preserve">   870323</v>
      </c>
      <c r="B8344" t="s">
        <v>481</v>
      </c>
      <c r="C8344">
        <v>8901570</v>
      </c>
      <c r="D8344">
        <v>5357</v>
      </c>
    </row>
    <row r="8345" spans="1:4" x14ac:dyDescent="0.25">
      <c r="A8345" t="str">
        <f>T("   870899")</f>
        <v xml:space="preserve">   870899</v>
      </c>
      <c r="B8345"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8345">
        <v>681542</v>
      </c>
      <c r="D8345">
        <v>52</v>
      </c>
    </row>
    <row r="8346" spans="1:4" x14ac:dyDescent="0.25">
      <c r="A8346" t="str">
        <f>T("   871631")</f>
        <v xml:space="preserve">   871631</v>
      </c>
      <c r="B8346" t="str">
        <f>T("   Remorques-citernes ne circulant pas sur rails")</f>
        <v xml:space="preserve">   Remorques-citernes ne circulant pas sur rails</v>
      </c>
      <c r="C8346">
        <v>1200000</v>
      </c>
      <c r="D8346">
        <v>12500</v>
      </c>
    </row>
    <row r="8347" spans="1:4" x14ac:dyDescent="0.25">
      <c r="A8347" t="str">
        <f>T("NF")</f>
        <v>NF</v>
      </c>
      <c r="B8347" t="str">
        <f>T("Norfolk, île")</f>
        <v>Norfolk, île</v>
      </c>
    </row>
    <row r="8348" spans="1:4" x14ac:dyDescent="0.25">
      <c r="A8348" t="str">
        <f>T("   ZZ_Total_Produit_SH6")</f>
        <v xml:space="preserve">   ZZ_Total_Produit_SH6</v>
      </c>
      <c r="B8348" t="str">
        <f>T("   ZZ_Total_Produit_SH6")</f>
        <v xml:space="preserve">   ZZ_Total_Produit_SH6</v>
      </c>
      <c r="C8348">
        <v>14815287</v>
      </c>
      <c r="D8348">
        <v>36234</v>
      </c>
    </row>
    <row r="8349" spans="1:4" x14ac:dyDescent="0.25">
      <c r="A8349" t="str">
        <f>T("   271011")</f>
        <v xml:space="preserve">   271011</v>
      </c>
      <c r="B8349"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8349">
        <v>1413955</v>
      </c>
      <c r="D8349">
        <v>3833</v>
      </c>
    </row>
    <row r="8350" spans="1:4" x14ac:dyDescent="0.25">
      <c r="A8350" t="str">
        <f>T("   271019")</f>
        <v xml:space="preserve">   271019</v>
      </c>
      <c r="B8350" t="str">
        <f>T("   Huiles moyennes et préparations, de pétrole ou de minéraux bitumineux, n.d.a.")</f>
        <v xml:space="preserve">   Huiles moyennes et préparations, de pétrole ou de minéraux bitumineux, n.d.a.</v>
      </c>
      <c r="C8350">
        <v>9251330</v>
      </c>
      <c r="D8350">
        <v>25597</v>
      </c>
    </row>
    <row r="8351" spans="1:4" x14ac:dyDescent="0.25">
      <c r="A8351" t="str">
        <f>T("   841829")</f>
        <v xml:space="preserve">   841829</v>
      </c>
      <c r="B8351" t="str">
        <f>T("   Réfrigérateurs ménagers à absorption, non-électriques")</f>
        <v xml:space="preserve">   Réfrigérateurs ménagers à absorption, non-électriques</v>
      </c>
      <c r="C8351">
        <v>250000</v>
      </c>
      <c r="D8351">
        <v>1494</v>
      </c>
    </row>
    <row r="8352" spans="1:4" x14ac:dyDescent="0.25">
      <c r="A8352" t="str">
        <f>T("   847149")</f>
        <v xml:space="preserve">   847149</v>
      </c>
      <c r="B8352" t="s">
        <v>437</v>
      </c>
      <c r="C8352">
        <v>2290004</v>
      </c>
      <c r="D8352">
        <v>3284</v>
      </c>
    </row>
    <row r="8353" spans="1:4" x14ac:dyDescent="0.25">
      <c r="A8353" t="str">
        <f>T("   852812")</f>
        <v xml:space="preserve">   852812</v>
      </c>
      <c r="B8353"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8353">
        <v>500000</v>
      </c>
      <c r="D8353">
        <v>761</v>
      </c>
    </row>
    <row r="8354" spans="1:4" x14ac:dyDescent="0.25">
      <c r="A8354" t="str">
        <f>T("   853929")</f>
        <v xml:space="preserve">   853929</v>
      </c>
      <c r="B8354" t="str">
        <f>T("   Lampes et tubes à incandescence électriques (autres que lampes et tubes halogènes, au tungstène, lampes d'une puissance &lt;= 200 W et pour une tension &gt; 100 V, et lampes à rayons ultraviolets ou infrarouges)")</f>
        <v xml:space="preserve">   Lampes et tubes à incandescence électriques (autres que lampes et tubes halogènes, au tungstène, lampes d'une puissance &lt;= 200 W et pour une tension &gt; 100 V, et lampes à rayons ultraviolets ou infrarouges)</v>
      </c>
      <c r="C8354">
        <v>459999</v>
      </c>
      <c r="D8354">
        <v>765</v>
      </c>
    </row>
    <row r="8355" spans="1:4" x14ac:dyDescent="0.25">
      <c r="A8355" t="str">
        <f>T("   940370")</f>
        <v xml:space="preserve">   940370</v>
      </c>
      <c r="B8355" t="str">
        <f>T("   Meubles en matières plastiques (autres que pour la médecine, l'art dentaire et vétérinaire, la chirurgie et autres que sièges)")</f>
        <v xml:space="preserve">   Meubles en matières plastiques (autres que pour la médecine, l'art dentaire et vétérinaire, la chirurgie et autres que sièges)</v>
      </c>
      <c r="C8355">
        <v>649999</v>
      </c>
      <c r="D8355">
        <v>500</v>
      </c>
    </row>
    <row r="8356" spans="1:4" x14ac:dyDescent="0.25">
      <c r="A8356" t="str">
        <f>T("NG")</f>
        <v>NG</v>
      </c>
      <c r="B8356" t="str">
        <f>T("Nigéria")</f>
        <v>Nigéria</v>
      </c>
    </row>
    <row r="8357" spans="1:4" x14ac:dyDescent="0.25">
      <c r="A8357" t="str">
        <f>T("   ZZ_Total_Produit_SH6")</f>
        <v xml:space="preserve">   ZZ_Total_Produit_SH6</v>
      </c>
      <c r="B8357" t="str">
        <f>T("   ZZ_Total_Produit_SH6")</f>
        <v xml:space="preserve">   ZZ_Total_Produit_SH6</v>
      </c>
      <c r="C8357">
        <v>29086910491.450001</v>
      </c>
      <c r="D8357">
        <v>88139982</v>
      </c>
    </row>
    <row r="8358" spans="1:4" x14ac:dyDescent="0.25">
      <c r="A8358" t="str">
        <f>T("   010310")</f>
        <v xml:space="preserve">   010310</v>
      </c>
      <c r="B8358" t="str">
        <f>T("   Porcins reproducteurs de race pure")</f>
        <v xml:space="preserve">   Porcins reproducteurs de race pure</v>
      </c>
      <c r="C8358">
        <v>406750</v>
      </c>
      <c r="D8358">
        <v>1570</v>
      </c>
    </row>
    <row r="8359" spans="1:4" x14ac:dyDescent="0.25">
      <c r="A8359" t="str">
        <f>T("   010392")</f>
        <v xml:space="preserve">   010392</v>
      </c>
      <c r="B8359" t="str">
        <f>T("   Porcins, vivants, d'un poids &gt;= 50 Kg (à l'excl. des animaux reproducteurs de race pure)")</f>
        <v xml:space="preserve">   Porcins, vivants, d'un poids &gt;= 50 Kg (à l'excl. des animaux reproducteurs de race pure)</v>
      </c>
      <c r="C8359">
        <v>12500</v>
      </c>
      <c r="D8359">
        <v>50</v>
      </c>
    </row>
    <row r="8360" spans="1:4" x14ac:dyDescent="0.25">
      <c r="A8360" t="str">
        <f>T("   040210")</f>
        <v xml:space="preserve">   040210</v>
      </c>
      <c r="B8360" t="str">
        <f>T("   Lait et crème de lait, en poudre, en granulés ou sous d'autres formes solides, d'une teneur en poids de matières grasses &lt;= 1,5%")</f>
        <v xml:space="preserve">   Lait et crème de lait, en poudre, en granulés ou sous d'autres formes solides, d'une teneur en poids de matières grasses &lt;= 1,5%</v>
      </c>
      <c r="C8360">
        <v>1707928</v>
      </c>
      <c r="D8360">
        <v>1124</v>
      </c>
    </row>
    <row r="8361" spans="1:4" x14ac:dyDescent="0.25">
      <c r="A8361" t="str">
        <f>T("   040221")</f>
        <v xml:space="preserve">   040221</v>
      </c>
      <c r="B8361" t="str">
        <f>T("   Lait et crème de lait, en poudre, en granulés ou sous d'autres formes solides, d'une teneur en poids de matières grasses &gt; 1,5%, sans addition de sucre ou d'autres édulcorants")</f>
        <v xml:space="preserve">   Lait et crème de lait, en poudre, en granulés ou sous d'autres formes solides, d'une teneur en poids de matières grasses &gt; 1,5%, sans addition de sucre ou d'autres édulcorants</v>
      </c>
      <c r="C8361">
        <v>71120600</v>
      </c>
      <c r="D8361">
        <v>20942</v>
      </c>
    </row>
    <row r="8362" spans="1:4" x14ac:dyDescent="0.25">
      <c r="A8362" t="str">
        <f>T("   040291")</f>
        <v xml:space="preserve">   040291</v>
      </c>
      <c r="B8362" t="str">
        <f>T("   Lait et crème de lait, concentrés, sans addition de sucre ou d'autres édulcorants (à l'excl. des laits et crèmes de lait en poudre, en granulés ou sous d'autres formes solides)")</f>
        <v xml:space="preserve">   Lait et crème de lait, concentrés, sans addition de sucre ou d'autres édulcorants (à l'excl. des laits et crèmes de lait en poudre, en granulés ou sous d'autres formes solides)</v>
      </c>
      <c r="C8362">
        <v>93500</v>
      </c>
      <c r="D8362">
        <v>90</v>
      </c>
    </row>
    <row r="8363" spans="1:4" x14ac:dyDescent="0.25">
      <c r="A8363" t="str">
        <f>T("   040299")</f>
        <v xml:space="preserve">   040299</v>
      </c>
      <c r="B8363" t="str">
        <f>T("   Lait et crème de lait, concentrés, additionnés de sucre ou d'autres édulcorants (à l'excl. des laits et crèmes de lait en poudre, en granulés ou sous d'autres formes solides)")</f>
        <v xml:space="preserve">   Lait et crème de lait, concentrés, additionnés de sucre ou d'autres édulcorants (à l'excl. des laits et crèmes de lait en poudre, en granulés ou sous d'autres formes solides)</v>
      </c>
      <c r="C8363">
        <v>3200000</v>
      </c>
      <c r="D8363">
        <v>308</v>
      </c>
    </row>
    <row r="8364" spans="1:4" x14ac:dyDescent="0.25">
      <c r="A8364" t="str">
        <f>T("   070190")</f>
        <v xml:space="preserve">   070190</v>
      </c>
      <c r="B8364" t="str">
        <f>T("   Pommes de terre, à l'état frais ou réfrigéré (à l'excl. des pommes de terre de semence)")</f>
        <v xml:space="preserve">   Pommes de terre, à l'état frais ou réfrigéré (à l'excl. des pommes de terre de semence)</v>
      </c>
      <c r="C8364">
        <v>3064750</v>
      </c>
      <c r="D8364">
        <v>43900</v>
      </c>
    </row>
    <row r="8365" spans="1:4" x14ac:dyDescent="0.25">
      <c r="A8365" t="str">
        <f>T("   070310")</f>
        <v xml:space="preserve">   070310</v>
      </c>
      <c r="B8365" t="str">
        <f>T("   Oignons et échalotes, à l'état frais ou réfrigéré")</f>
        <v xml:space="preserve">   Oignons et échalotes, à l'état frais ou réfrigéré</v>
      </c>
      <c r="C8365">
        <v>375000</v>
      </c>
      <c r="D8365">
        <v>2500</v>
      </c>
    </row>
    <row r="8366" spans="1:4" x14ac:dyDescent="0.25">
      <c r="A8366" t="str">
        <f>T("   070320")</f>
        <v xml:space="preserve">   070320</v>
      </c>
      <c r="B8366" t="str">
        <f>T("   Aulx, à l'état frais ou réfrigéré")</f>
        <v xml:space="preserve">   Aulx, à l'état frais ou réfrigéré</v>
      </c>
      <c r="C8366">
        <v>40000</v>
      </c>
      <c r="D8366">
        <v>1500</v>
      </c>
    </row>
    <row r="8367" spans="1:4" x14ac:dyDescent="0.25">
      <c r="A8367" t="str">
        <f>T("   071090")</f>
        <v xml:space="preserve">   071090</v>
      </c>
      <c r="B8367" t="str">
        <f>T("   Mélanges de légumes, non cuits ou cuits à l'eau ou à la vapeur, congelés")</f>
        <v xml:space="preserve">   Mélanges de légumes, non cuits ou cuits à l'eau ou à la vapeur, congelés</v>
      </c>
      <c r="C8367">
        <v>130000</v>
      </c>
      <c r="D8367">
        <v>2000</v>
      </c>
    </row>
    <row r="8368" spans="1:4" x14ac:dyDescent="0.25">
      <c r="A8368" t="str">
        <f>T("   071339")</f>
        <v xml:space="preserve">   071339</v>
      </c>
      <c r="B8368" t="str">
        <f>T("   Haricots 'Vigna spp., Phaseolus spp.', secs, écossés, même décortiqués ou cassés (à l'excl. des haricots des espèces 'Vigna mungo L. Hepper ou Vigna radiata L. Wilczek', des haricots 'petits rouges' [haricots Adzuki] et des haricots communs)")</f>
        <v xml:space="preserve">   Haricots 'Vigna spp., Phaseolus spp.', secs, écossés, même décortiqués ou cassés (à l'excl. des haricots des espèces 'Vigna mungo L. Hepper ou Vigna radiata L. Wilczek', des haricots 'petits rouges' [haricots Adzuki] et des haricots communs)</v>
      </c>
      <c r="C8368">
        <v>795625</v>
      </c>
      <c r="D8368">
        <v>10055</v>
      </c>
    </row>
    <row r="8369" spans="1:4" x14ac:dyDescent="0.25">
      <c r="A8369" t="str">
        <f>T("   090210")</f>
        <v xml:space="preserve">   090210</v>
      </c>
      <c r="B8369" t="str">
        <f>T("   Thé vert [thé non fermenté], présenté en emballages immédiats d'un contenu &lt;= 3 kg")</f>
        <v xml:space="preserve">   Thé vert [thé non fermenté], présenté en emballages immédiats d'un contenu &lt;= 3 kg</v>
      </c>
      <c r="C8369">
        <v>34650</v>
      </c>
      <c r="D8369">
        <v>10</v>
      </c>
    </row>
    <row r="8370" spans="1:4" x14ac:dyDescent="0.25">
      <c r="A8370" t="str">
        <f>T("   090220")</f>
        <v xml:space="preserve">   090220</v>
      </c>
      <c r="B8370" t="str">
        <f>T("   Thé vert [thé non fermenté], présenté en emballages immédiats d'un contenu &gt; 3 kg")</f>
        <v xml:space="preserve">   Thé vert [thé non fermenté], présenté en emballages immédiats d'un contenu &gt; 3 kg</v>
      </c>
      <c r="C8370">
        <v>22000</v>
      </c>
      <c r="D8370">
        <v>55</v>
      </c>
    </row>
    <row r="8371" spans="1:4" x14ac:dyDescent="0.25">
      <c r="A8371" t="str">
        <f>T("   090411")</f>
        <v xml:space="preserve">   090411</v>
      </c>
      <c r="B8371" t="str">
        <f>T("   Poivre du genre 'Piper', non broyé ni pulvérisé")</f>
        <v xml:space="preserve">   Poivre du genre 'Piper', non broyé ni pulvérisé</v>
      </c>
      <c r="C8371">
        <v>42000</v>
      </c>
      <c r="D8371">
        <v>100</v>
      </c>
    </row>
    <row r="8372" spans="1:4" x14ac:dyDescent="0.25">
      <c r="A8372" t="str">
        <f>T("   090420")</f>
        <v xml:space="preserve">   090420</v>
      </c>
      <c r="B8372" t="str">
        <f>T("   Piments du genre 'Capsicum' ou du genre 'Pimenta', séchés ou broyés ou pulvérisés")</f>
        <v xml:space="preserve">   Piments du genre 'Capsicum' ou du genre 'Pimenta', séchés ou broyés ou pulvérisés</v>
      </c>
      <c r="C8372">
        <v>20700</v>
      </c>
      <c r="D8372">
        <v>230</v>
      </c>
    </row>
    <row r="8373" spans="1:4" x14ac:dyDescent="0.25">
      <c r="A8373" t="str">
        <f>T("   091010")</f>
        <v xml:space="preserve">   091010</v>
      </c>
      <c r="B8373" t="str">
        <f>T("   Gingembre")</f>
        <v xml:space="preserve">   Gingembre</v>
      </c>
      <c r="C8373">
        <v>9299000</v>
      </c>
      <c r="D8373">
        <v>102400</v>
      </c>
    </row>
    <row r="8374" spans="1:4" x14ac:dyDescent="0.25">
      <c r="A8374" t="str">
        <f>T("   100590")</f>
        <v xml:space="preserve">   100590</v>
      </c>
      <c r="B8374" t="str">
        <f>T("   Maïs (autre que de semence)")</f>
        <v xml:space="preserve">   Maïs (autre que de semence)</v>
      </c>
      <c r="C8374">
        <v>79175</v>
      </c>
      <c r="D8374">
        <v>340</v>
      </c>
    </row>
    <row r="8375" spans="1:4" x14ac:dyDescent="0.25">
      <c r="A8375" t="str">
        <f>T("   100630")</f>
        <v xml:space="preserve">   100630</v>
      </c>
      <c r="B8375" t="str">
        <f>T("   Riz semi-blanchi ou blanchi, même poli ou glacé")</f>
        <v xml:space="preserve">   Riz semi-blanchi ou blanchi, même poli ou glacé</v>
      </c>
      <c r="C8375">
        <v>17862385.460000001</v>
      </c>
      <c r="D8375">
        <v>94230</v>
      </c>
    </row>
    <row r="8376" spans="1:4" x14ac:dyDescent="0.25">
      <c r="A8376" t="str">
        <f>T("   100700")</f>
        <v xml:space="preserve">   100700</v>
      </c>
      <c r="B8376" t="str">
        <f>T("   Sorgho à grains")</f>
        <v xml:space="preserve">   Sorgho à grains</v>
      </c>
      <c r="C8376">
        <v>331100</v>
      </c>
      <c r="D8376">
        <v>6020</v>
      </c>
    </row>
    <row r="8377" spans="1:4" x14ac:dyDescent="0.25">
      <c r="A8377" t="str">
        <f>T("   110510")</f>
        <v xml:space="preserve">   110510</v>
      </c>
      <c r="B8377" t="str">
        <f>T("   Farine, semoule et poudre de pommes de terre")</f>
        <v xml:space="preserve">   Farine, semoule et poudre de pommes de terre</v>
      </c>
      <c r="C8377">
        <v>78750</v>
      </c>
      <c r="D8377">
        <v>750</v>
      </c>
    </row>
    <row r="8378" spans="1:4" x14ac:dyDescent="0.25">
      <c r="A8378" t="str">
        <f>T("   121190")</f>
        <v xml:space="preserve">   121190</v>
      </c>
      <c r="B8378" t="s">
        <v>31</v>
      </c>
      <c r="C8378">
        <v>2135250</v>
      </c>
      <c r="D8378">
        <v>42945</v>
      </c>
    </row>
    <row r="8379" spans="1:4" x14ac:dyDescent="0.25">
      <c r="A8379" t="str">
        <f>T("   140120")</f>
        <v xml:space="preserve">   140120</v>
      </c>
      <c r="B8379" t="str">
        <f>T("   Rotins")</f>
        <v xml:space="preserve">   Rotins</v>
      </c>
      <c r="C8379">
        <v>441300</v>
      </c>
      <c r="D8379">
        <v>7100</v>
      </c>
    </row>
    <row r="8380" spans="1:4" x14ac:dyDescent="0.25">
      <c r="A8380" t="str">
        <f>T("   140490")</f>
        <v xml:space="preserve">   140490</v>
      </c>
      <c r="B8380" t="str">
        <f>T("   Produits végétaux, n.d.a.")</f>
        <v xml:space="preserve">   Produits végétaux, n.d.a.</v>
      </c>
      <c r="C8380">
        <v>370000</v>
      </c>
      <c r="D8380">
        <v>3700</v>
      </c>
    </row>
    <row r="8381" spans="1:4" x14ac:dyDescent="0.25">
      <c r="A8381" t="str">
        <f>T("   160413")</f>
        <v xml:space="preserve">   160413</v>
      </c>
      <c r="B8381" t="str">
        <f>T("   Préparations et conserves de sardines, sardinelles, sprats ou esprots, entiers ou en morceaux (à l'excl. des préparations et conserves de poissons hachés)")</f>
        <v xml:space="preserve">   Préparations et conserves de sardines, sardinelles, sprats ou esprots, entiers ou en morceaux (à l'excl. des préparations et conserves de poissons hachés)</v>
      </c>
      <c r="C8381">
        <v>93000</v>
      </c>
      <c r="D8381">
        <v>40</v>
      </c>
    </row>
    <row r="8382" spans="1:4" x14ac:dyDescent="0.25">
      <c r="A8382" t="str">
        <f>T("   160414")</f>
        <v xml:space="preserve">   160414</v>
      </c>
      <c r="B8382" t="str">
        <f>T("   Préparations et conserves de thons, de listaos et de bonites 'Sarda spp.', entiers ou en morceaux (à l'excl. des préparations et conserves de thons, de listaos et de bonites hachés)")</f>
        <v xml:space="preserve">   Préparations et conserves de thons, de listaos et de bonites 'Sarda spp.', entiers ou en morceaux (à l'excl. des préparations et conserves de thons, de listaos et de bonites hachés)</v>
      </c>
      <c r="C8382">
        <v>30346</v>
      </c>
      <c r="D8382">
        <v>80</v>
      </c>
    </row>
    <row r="8383" spans="1:4" x14ac:dyDescent="0.25">
      <c r="A8383" t="str">
        <f>T("   160415")</f>
        <v xml:space="preserve">   160415</v>
      </c>
      <c r="B8383" t="str">
        <f>T("   Préparations et conserves de maquereaux entiers ou en morceaux (à l'excl. des préparations et conserves de maquereaux hachés)")</f>
        <v xml:space="preserve">   Préparations et conserves de maquereaux entiers ou en morceaux (à l'excl. des préparations et conserves de maquereaux hachés)</v>
      </c>
      <c r="C8383">
        <v>38166</v>
      </c>
      <c r="D8383">
        <v>40</v>
      </c>
    </row>
    <row r="8384" spans="1:4" x14ac:dyDescent="0.25">
      <c r="A8384" t="str">
        <f>T("   170199")</f>
        <v xml:space="preserve">   170199</v>
      </c>
      <c r="B8384"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8384">
        <v>7750701.9900000002</v>
      </c>
      <c r="D8384">
        <v>25520</v>
      </c>
    </row>
    <row r="8385" spans="1:4" x14ac:dyDescent="0.25">
      <c r="A8385" t="str">
        <f>T("   170410")</f>
        <v xml:space="preserve">   170410</v>
      </c>
      <c r="B8385" t="str">
        <f>T("   Gommes à mâcher [chewing-gum], même enrobées de sucre")</f>
        <v xml:space="preserve">   Gommes à mâcher [chewing-gum], même enrobées de sucre</v>
      </c>
      <c r="C8385">
        <v>599150</v>
      </c>
      <c r="D8385">
        <v>1517</v>
      </c>
    </row>
    <row r="8386" spans="1:4" x14ac:dyDescent="0.25">
      <c r="A8386" t="str">
        <f>T("   170490")</f>
        <v xml:space="preserve">   170490</v>
      </c>
      <c r="B8386" t="str">
        <f>T("   Sucreries sans cacao, y.c. le chocolat blanc (à l'excl. des gommes à mâcher)")</f>
        <v xml:space="preserve">   Sucreries sans cacao, y.c. le chocolat blanc (à l'excl. des gommes à mâcher)</v>
      </c>
      <c r="C8386">
        <v>6603833</v>
      </c>
      <c r="D8386">
        <v>19998</v>
      </c>
    </row>
    <row r="8387" spans="1:4" x14ac:dyDescent="0.25">
      <c r="A8387" t="str">
        <f>T("   190110")</f>
        <v xml:space="preserve">   190110</v>
      </c>
      <c r="B8387" t="s">
        <v>47</v>
      </c>
      <c r="C8387">
        <v>9227935</v>
      </c>
      <c r="D8387">
        <v>25239</v>
      </c>
    </row>
    <row r="8388" spans="1:4" x14ac:dyDescent="0.25">
      <c r="A8388" t="str">
        <f>T("   190190")</f>
        <v xml:space="preserve">   190190</v>
      </c>
      <c r="B8388" t="s">
        <v>49</v>
      </c>
      <c r="C8388">
        <v>1929050</v>
      </c>
      <c r="D8388">
        <v>4982</v>
      </c>
    </row>
    <row r="8389" spans="1:4" x14ac:dyDescent="0.25">
      <c r="A8389" t="str">
        <f>T("   190230")</f>
        <v xml:space="preserve">   190230</v>
      </c>
      <c r="B8389" t="str">
        <f>T("   Pâtes alimentaires, cuites ou autrement préparées (à l'excl. des pâtes alimentaires farcies)")</f>
        <v xml:space="preserve">   Pâtes alimentaires, cuites ou autrement préparées (à l'excl. des pâtes alimentaires farcies)</v>
      </c>
      <c r="C8389">
        <v>93750</v>
      </c>
      <c r="D8389">
        <v>375</v>
      </c>
    </row>
    <row r="8390" spans="1:4" x14ac:dyDescent="0.25">
      <c r="A8390" t="str">
        <f>T("   190510")</f>
        <v xml:space="preserve">   190510</v>
      </c>
      <c r="B8390" t="str">
        <f>T("   PAIN CROUSTILLANT DIT KNÕCKEBROT")</f>
        <v xml:space="preserve">   PAIN CROUSTILLANT DIT KNÕCKEBROT</v>
      </c>
      <c r="C8390">
        <v>15200</v>
      </c>
      <c r="D8390">
        <v>38</v>
      </c>
    </row>
    <row r="8391" spans="1:4" x14ac:dyDescent="0.25">
      <c r="A8391" t="str">
        <f>T("   190530")</f>
        <v xml:space="preserve">   190530</v>
      </c>
      <c r="B8391" t="str">
        <f>T("   BISCUITS ADDITIONNES D'EDULCORANTS, GAUFRES ET GAUFRETTES, MÊME ADDITIONNES DE CACAO (À L'EXCL. DES GAUFRES ET GAUFRETTES AYANT UNE TENEUR EN EAU &gt; 10%)")</f>
        <v xml:space="preserve">   BISCUITS ADDITIONNES D'EDULCORANTS, GAUFRES ET GAUFRETTES, MÊME ADDITIONNES DE CACAO (À L'EXCL. DES GAUFRES ET GAUFRETTES AYANT UNE TENEUR EN EAU &gt; 10%)</v>
      </c>
      <c r="C8391">
        <v>138000</v>
      </c>
      <c r="D8391">
        <v>394</v>
      </c>
    </row>
    <row r="8392" spans="1:4" x14ac:dyDescent="0.25">
      <c r="A8392" t="str">
        <f>T("   190590")</f>
        <v xml:space="preserve">   190590</v>
      </c>
      <c r="B8392" t="s">
        <v>51</v>
      </c>
      <c r="C8392">
        <v>174024310</v>
      </c>
      <c r="D8392">
        <v>1044125</v>
      </c>
    </row>
    <row r="8393" spans="1:4" x14ac:dyDescent="0.25">
      <c r="A8393" t="str">
        <f>T("   200190")</f>
        <v xml:space="preserve">   200190</v>
      </c>
      <c r="B8393" t="str">
        <f>T("   Légumes, fruits et autres parties comestibles de plantes, préparés ou conservés au vinaigre ou à l'acide acétique (à l'excl. des concombres et des cornichons)")</f>
        <v xml:space="preserve">   Légumes, fruits et autres parties comestibles de plantes, préparés ou conservés au vinaigre ou à l'acide acétique (à l'excl. des concombres et des cornichons)</v>
      </c>
      <c r="C8393">
        <v>48000</v>
      </c>
      <c r="D8393">
        <v>120</v>
      </c>
    </row>
    <row r="8394" spans="1:4" x14ac:dyDescent="0.25">
      <c r="A8394" t="str">
        <f>T("   200290")</f>
        <v xml:space="preserve">   200290</v>
      </c>
      <c r="B8394"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8394">
        <v>32390352</v>
      </c>
      <c r="D8394">
        <v>163350</v>
      </c>
    </row>
    <row r="8395" spans="1:4" x14ac:dyDescent="0.25">
      <c r="A8395" t="str">
        <f>T("   200540")</f>
        <v xml:space="preserve">   200540</v>
      </c>
      <c r="B8395" t="str">
        <f>T("   Pois [Pisum sativum], préparés ou conservés autrement qu'au vinaigre ou à l'acide acétique, non congelés")</f>
        <v xml:space="preserve">   Pois [Pisum sativum], préparés ou conservés autrement qu'au vinaigre ou à l'acide acétique, non congelés</v>
      </c>
      <c r="C8395">
        <v>3500</v>
      </c>
      <c r="D8395">
        <v>5</v>
      </c>
    </row>
    <row r="8396" spans="1:4" x14ac:dyDescent="0.25">
      <c r="A8396" t="str">
        <f>T("   200580")</f>
        <v xml:space="preserve">   200580</v>
      </c>
      <c r="B8396" t="str">
        <f>T("   Maïs doux [Zea mays var. saccharata], préparé ou conservé autrement qu'au vinaigre ou à l'acide acétique, non congelé")</f>
        <v xml:space="preserve">   Maïs doux [Zea mays var. saccharata], préparé ou conservé autrement qu'au vinaigre ou à l'acide acétique, non congelé</v>
      </c>
      <c r="C8396">
        <v>37200</v>
      </c>
      <c r="D8396">
        <v>192</v>
      </c>
    </row>
    <row r="8397" spans="1:4" x14ac:dyDescent="0.25">
      <c r="A8397" t="str">
        <f>T("   200919")</f>
        <v xml:space="preserve">   200919</v>
      </c>
      <c r="B8397" t="str">
        <f>T("   JUS D'ORANGE, NON-FERMENTÉS, SANS ADDITION D'ALCOOL, AVEC OU SANS ADDITION DE SUCRE OU D'AUTRES ÉDULCORANTS (À L'EXCL. DES JUS CONGELÉS ET DES JUS D'UNE VALEUR BRIX &lt;= 20 À 20°C)")</f>
        <v xml:space="preserve">   JUS D'ORANGE, NON-FERMENTÉS, SANS ADDITION D'ALCOOL, AVEC OU SANS ADDITION DE SUCRE OU D'AUTRES ÉDULCORANTS (À L'EXCL. DES JUS CONGELÉS ET DES JUS D'UNE VALEUR BRIX &lt;= 20 À 20°C)</v>
      </c>
      <c r="C8397">
        <v>5542724</v>
      </c>
      <c r="D8397">
        <v>40450</v>
      </c>
    </row>
    <row r="8398" spans="1:4" x14ac:dyDescent="0.25">
      <c r="A8398" t="str">
        <f>T("   200980")</f>
        <v xml:space="preserve">   200980</v>
      </c>
      <c r="B8398"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8398">
        <v>4865397</v>
      </c>
      <c r="D8398">
        <v>33950</v>
      </c>
    </row>
    <row r="8399" spans="1:4" x14ac:dyDescent="0.25">
      <c r="A8399" t="str">
        <f>T("   200990")</f>
        <v xml:space="preserve">   200990</v>
      </c>
      <c r="B8399"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8399">
        <v>167500</v>
      </c>
      <c r="D8399">
        <v>2150</v>
      </c>
    </row>
    <row r="8400" spans="1:4" x14ac:dyDescent="0.25">
      <c r="A8400" t="str">
        <f>T("   210112")</f>
        <v xml:space="preserve">   210112</v>
      </c>
      <c r="B8400" t="str">
        <f>T("   Préparations à base d'extraits, essences ou concentrés de café ou à base de café")</f>
        <v xml:space="preserve">   Préparations à base d'extraits, essences ou concentrés de café ou à base de café</v>
      </c>
      <c r="C8400">
        <v>233000</v>
      </c>
      <c r="D8400">
        <v>338</v>
      </c>
    </row>
    <row r="8401" spans="1:4" x14ac:dyDescent="0.25">
      <c r="A8401" t="str">
        <f>T("   210210")</f>
        <v xml:space="preserve">   210210</v>
      </c>
      <c r="B8401" t="str">
        <f>T("   Levures vivantes")</f>
        <v xml:space="preserve">   Levures vivantes</v>
      </c>
      <c r="C8401">
        <v>5440</v>
      </c>
      <c r="D8401">
        <v>8</v>
      </c>
    </row>
    <row r="8402" spans="1:4" x14ac:dyDescent="0.25">
      <c r="A8402" t="str">
        <f>T("   210230")</f>
        <v xml:space="preserve">   210230</v>
      </c>
      <c r="B8402" t="str">
        <f>T("   Poudres à lever préparées")</f>
        <v xml:space="preserve">   Poudres à lever préparées</v>
      </c>
      <c r="C8402">
        <v>21760</v>
      </c>
      <c r="D8402">
        <v>32</v>
      </c>
    </row>
    <row r="8403" spans="1:4" x14ac:dyDescent="0.25">
      <c r="A8403" t="str">
        <f>T("   210410")</f>
        <v xml:space="preserve">   210410</v>
      </c>
      <c r="B8403" t="str">
        <f>T("   Préparations pour soupes, potages ou bouillons; soupes, potages ou bouillons préparés")</f>
        <v xml:space="preserve">   Préparations pour soupes, potages ou bouillons; soupes, potages ou bouillons préparés</v>
      </c>
      <c r="C8403">
        <v>938463</v>
      </c>
      <c r="D8403">
        <v>751</v>
      </c>
    </row>
    <row r="8404" spans="1:4" x14ac:dyDescent="0.25">
      <c r="A8404" t="str">
        <f>T("   210690")</f>
        <v xml:space="preserve">   210690</v>
      </c>
      <c r="B8404" t="str">
        <f>T("   Préparations alimentaires, n.d.a.")</f>
        <v xml:space="preserve">   Préparations alimentaires, n.d.a.</v>
      </c>
      <c r="C8404">
        <v>17500</v>
      </c>
      <c r="D8404">
        <v>50</v>
      </c>
    </row>
    <row r="8405" spans="1:4" x14ac:dyDescent="0.25">
      <c r="A8405" t="str">
        <f>T("   220190")</f>
        <v xml:space="preserve">   220190</v>
      </c>
      <c r="B8405" t="str">
        <f>T("   Eaux, non additionnées de sucre ou d'autres édulcorants ni aromatisées (à l'excl. des eaux minérales, des eaux gazéifiées, de l'eau de mer ainsi que des eaux distillées, de conductibilité ou de même degré de pureté); glace et neige")</f>
        <v xml:space="preserve">   Eaux, non additionnées de sucre ou d'autres édulcorants ni aromatisées (à l'excl. des eaux minérales, des eaux gazéifiées, de l'eau de mer ainsi que des eaux distillées, de conductibilité ou de même degré de pureté); glace et neige</v>
      </c>
      <c r="C8405">
        <v>31800</v>
      </c>
      <c r="D8405">
        <v>636</v>
      </c>
    </row>
    <row r="8406" spans="1:4" x14ac:dyDescent="0.25">
      <c r="A8406" t="str">
        <f>T("   220210")</f>
        <v xml:space="preserve">   220210</v>
      </c>
      <c r="B8406"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8406">
        <v>35000</v>
      </c>
      <c r="D8406">
        <v>90</v>
      </c>
    </row>
    <row r="8407" spans="1:4" x14ac:dyDescent="0.25">
      <c r="A8407" t="str">
        <f>T("   220290")</f>
        <v xml:space="preserve">   220290</v>
      </c>
      <c r="B8407" t="str">
        <f>T("   BOISSONS NON-ALCOOLIQUES (À L'EXCL. DES EAUX, DES JUS DE FRUITS OU DE LÉGUMES AINSI QUE DU LAIT)")</f>
        <v xml:space="preserve">   BOISSONS NON-ALCOOLIQUES (À L'EXCL. DES EAUX, DES JUS DE FRUITS OU DE LÉGUMES AINSI QUE DU LAIT)</v>
      </c>
      <c r="C8407">
        <v>85545680</v>
      </c>
      <c r="D8407">
        <v>957250</v>
      </c>
    </row>
    <row r="8408" spans="1:4" x14ac:dyDescent="0.25">
      <c r="A8408" t="str">
        <f>T("   220300")</f>
        <v xml:space="preserve">   220300</v>
      </c>
      <c r="B8408" t="str">
        <f>T("   Bières de malt")</f>
        <v xml:space="preserve">   Bières de malt</v>
      </c>
      <c r="C8408">
        <v>244381608</v>
      </c>
      <c r="D8408">
        <v>1462152</v>
      </c>
    </row>
    <row r="8409" spans="1:4" x14ac:dyDescent="0.25">
      <c r="A8409" t="str">
        <f>T("   220410")</f>
        <v xml:space="preserve">   220410</v>
      </c>
      <c r="B8409" t="str">
        <f>T("   Vins mousseux produits à partir de raisins frais")</f>
        <v xml:space="preserve">   Vins mousseux produits à partir de raisins frais</v>
      </c>
      <c r="C8409">
        <v>1403189</v>
      </c>
      <c r="D8409">
        <v>820</v>
      </c>
    </row>
    <row r="8410" spans="1:4" x14ac:dyDescent="0.25">
      <c r="A8410" t="str">
        <f>T("   220590")</f>
        <v xml:space="preserve">   220590</v>
      </c>
      <c r="B8410" t="str">
        <f>T("   Vermouths et autres vins de raisins frais préparés à l'aide de plantes ou de substances aromatiques, en récipients d'une contenance &gt; 2 l")</f>
        <v xml:space="preserve">   Vermouths et autres vins de raisins frais préparés à l'aide de plantes ou de substances aromatiques, en récipients d'une contenance &gt; 2 l</v>
      </c>
      <c r="C8410">
        <v>367474</v>
      </c>
      <c r="D8410">
        <v>2495</v>
      </c>
    </row>
    <row r="8411" spans="1:4" x14ac:dyDescent="0.25">
      <c r="A8411" t="str">
        <f>T("   220710")</f>
        <v xml:space="preserve">   220710</v>
      </c>
      <c r="B8411" t="str">
        <f>T("   Alcool éthylique non dénaturé d'un titre alcoométrique volumique &gt;= 80% vol")</f>
        <v xml:space="preserve">   Alcool éthylique non dénaturé d'un titre alcoométrique volumique &gt;= 80% vol</v>
      </c>
      <c r="C8411">
        <v>1935938</v>
      </c>
      <c r="D8411">
        <v>27550</v>
      </c>
    </row>
    <row r="8412" spans="1:4" x14ac:dyDescent="0.25">
      <c r="A8412" t="str">
        <f>T("   220890")</f>
        <v xml:space="preserve">   220890</v>
      </c>
      <c r="B8412" t="s">
        <v>61</v>
      </c>
      <c r="C8412">
        <v>150000</v>
      </c>
      <c r="D8412">
        <v>100</v>
      </c>
    </row>
    <row r="8413" spans="1:4" x14ac:dyDescent="0.25">
      <c r="A8413" t="str">
        <f>T("   230230")</f>
        <v xml:space="preserve">   230230</v>
      </c>
      <c r="B8413" t="str">
        <f>T("   Sons, remoulages et autres résidus, même agglomérés sous forme de pellets, du criblage, de la mouture ou d'autres traitements du froment")</f>
        <v xml:space="preserve">   Sons, remoulages et autres résidus, même agglomérés sous forme de pellets, du criblage, de la mouture ou d'autres traitements du froment</v>
      </c>
      <c r="C8413">
        <v>7634590</v>
      </c>
      <c r="D8413">
        <v>346905</v>
      </c>
    </row>
    <row r="8414" spans="1:4" x14ac:dyDescent="0.25">
      <c r="A8414" t="str">
        <f>T("   240110")</f>
        <v xml:space="preserve">   240110</v>
      </c>
      <c r="B8414" t="str">
        <f>T("   TABACS NON-ÉCOTÉS")</f>
        <v xml:space="preserve">   TABACS NON-ÉCOTÉS</v>
      </c>
      <c r="C8414">
        <v>2165672</v>
      </c>
      <c r="D8414">
        <v>1976</v>
      </c>
    </row>
    <row r="8415" spans="1:4" x14ac:dyDescent="0.25">
      <c r="A8415" t="str">
        <f>T("   240130")</f>
        <v xml:space="preserve">   240130</v>
      </c>
      <c r="B8415" t="str">
        <f>T("   Déchets de tabac")</f>
        <v xml:space="preserve">   Déchets de tabac</v>
      </c>
      <c r="C8415">
        <v>670676</v>
      </c>
      <c r="D8415">
        <v>785</v>
      </c>
    </row>
    <row r="8416" spans="1:4" x14ac:dyDescent="0.25">
      <c r="A8416" t="str">
        <f>T("   240220")</f>
        <v xml:space="preserve">   240220</v>
      </c>
      <c r="B8416" t="str">
        <f>T("   Cigarettes contenant du tabac")</f>
        <v xml:space="preserve">   Cigarettes contenant du tabac</v>
      </c>
      <c r="C8416">
        <v>867053236</v>
      </c>
      <c r="D8416">
        <v>583528</v>
      </c>
    </row>
    <row r="8417" spans="1:4" x14ac:dyDescent="0.25">
      <c r="A8417" t="str">
        <f>T("   250100")</f>
        <v xml:space="preserve">   250100</v>
      </c>
      <c r="B8417" t="s">
        <v>63</v>
      </c>
      <c r="C8417">
        <v>484375</v>
      </c>
      <c r="D8417">
        <v>19375</v>
      </c>
    </row>
    <row r="8418" spans="1:4" x14ac:dyDescent="0.25">
      <c r="A8418" t="str">
        <f>T("   250590")</f>
        <v xml:space="preserve">   250590</v>
      </c>
      <c r="B8418" t="str">
        <f>T("   Sables naturels de toute espèce, même colorés (à l'excl. des sables aurifères, platinifères, monazités, bitumineux, asphaltiques, siliceux ou quartzeux ainsi que des sables de zircon, de rutile ou d'ilménite)")</f>
        <v xml:space="preserve">   Sables naturels de toute espèce, même colorés (à l'excl. des sables aurifères, platinifères, monazités, bitumineux, asphaltiques, siliceux ou quartzeux ainsi que des sables de zircon, de rutile ou d'ilménite)</v>
      </c>
      <c r="C8418">
        <v>3025700</v>
      </c>
      <c r="D8418">
        <v>108888</v>
      </c>
    </row>
    <row r="8419" spans="1:4" x14ac:dyDescent="0.25">
      <c r="A8419" t="str">
        <f>T("   250700")</f>
        <v xml:space="preserve">   250700</v>
      </c>
      <c r="B8419" t="str">
        <f>T("   Kaolin et autres argiles kaoliniques, même calcinés")</f>
        <v xml:space="preserve">   Kaolin et autres argiles kaoliniques, même calcinés</v>
      </c>
      <c r="C8419">
        <v>4307380</v>
      </c>
      <c r="D8419">
        <v>42238</v>
      </c>
    </row>
    <row r="8420" spans="1:4" x14ac:dyDescent="0.25">
      <c r="A8420" t="str">
        <f>T("   250810")</f>
        <v xml:space="preserve">   250810</v>
      </c>
      <c r="B8420" t="str">
        <f>T("   Bentonite")</f>
        <v xml:space="preserve">   Bentonite</v>
      </c>
      <c r="C8420">
        <v>77760</v>
      </c>
      <c r="D8420">
        <v>500</v>
      </c>
    </row>
    <row r="8421" spans="1:4" x14ac:dyDescent="0.25">
      <c r="A8421" t="str">
        <f>T("   251020")</f>
        <v xml:space="preserve">   251020</v>
      </c>
      <c r="B8421" t="str">
        <f>T("   Phosphates de calcium et phosphates aluminocalciques, naturels, et craies phosphatées, moulus")</f>
        <v xml:space="preserve">   Phosphates de calcium et phosphates aluminocalciques, naturels, et craies phosphatées, moulus</v>
      </c>
      <c r="C8421">
        <v>80000</v>
      </c>
      <c r="D8421">
        <v>200</v>
      </c>
    </row>
    <row r="8422" spans="1:4" x14ac:dyDescent="0.25">
      <c r="A8422" t="str">
        <f>T("   251200")</f>
        <v xml:space="preserve">   251200</v>
      </c>
      <c r="B8422" t="str">
        <f>T("   Farines siliceuses fossiles [kieselguhr, tripolite, diatomite, par exemple] et autres terres siliceuses analogues, d'une densité apparente &lt;= 1, même calcinées")</f>
        <v xml:space="preserve">   Farines siliceuses fossiles [kieselguhr, tripolite, diatomite, par exemple] et autres terres siliceuses analogues, d'une densité apparente &lt;= 1, même calcinées</v>
      </c>
      <c r="C8422">
        <v>280000</v>
      </c>
      <c r="D8422">
        <v>1000</v>
      </c>
    </row>
    <row r="8423" spans="1:4" x14ac:dyDescent="0.25">
      <c r="A8423" t="str">
        <f>T("   251319")</f>
        <v xml:space="preserve">   251319</v>
      </c>
      <c r="B8423" t="str">
        <f>T("   Pierre ponce, broyée ou pulvérisée")</f>
        <v xml:space="preserve">   Pierre ponce, broyée ou pulvérisée</v>
      </c>
      <c r="C8423">
        <v>7900</v>
      </c>
      <c r="D8423">
        <v>10</v>
      </c>
    </row>
    <row r="8424" spans="1:4" x14ac:dyDescent="0.25">
      <c r="A8424" t="str">
        <f>T("   252329")</f>
        <v xml:space="preserve">   252329</v>
      </c>
      <c r="B8424" t="str">
        <f>T("   Ciment Portland normal ou modéré (à l'excl. des ciments Portland blancs, même colorés artificiellement)")</f>
        <v xml:space="preserve">   Ciment Portland normal ou modéré (à l'excl. des ciments Portland blancs, même colorés artificiellement)</v>
      </c>
      <c r="C8424">
        <v>578100</v>
      </c>
      <c r="D8424">
        <v>860</v>
      </c>
    </row>
    <row r="8425" spans="1:4" x14ac:dyDescent="0.25">
      <c r="A8425" t="str">
        <f>T("   271000")</f>
        <v xml:space="preserve">   271000</v>
      </c>
      <c r="B8425" t="str">
        <f>T("   HUILES DE PETROLE OU DE MINERAUX BITUMINEUX (AUTRES QUE LES HUILES BRUTES); PRÉPARATIONS N.D.A. CONTENANT EN POIDS &gt;= 70% D'HUILES DE PETROLE OU DE MINERAUX BITUMINEUX ET DONT CES HUILES CONSTITUENT L'ELEMENT DE BASE")</f>
        <v xml:space="preserve">   HUILES DE PETROLE OU DE MINERAUX BITUMINEUX (AUTRES QUE LES HUILES BRUTES); PRÉPARATIONS N.D.A. CONTENANT EN POIDS &gt;= 70% D'HUILES DE PETROLE OU DE MINERAUX BITUMINEUX ET DONT CES HUILES CONSTITUENT L'ELEMENT DE BASE</v>
      </c>
      <c r="C8425">
        <v>2304802</v>
      </c>
      <c r="D8425">
        <v>5195</v>
      </c>
    </row>
    <row r="8426" spans="1:4" x14ac:dyDescent="0.25">
      <c r="A8426" t="str">
        <f>T("   271011")</f>
        <v xml:space="preserve">   271011</v>
      </c>
      <c r="B8426"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8426">
        <v>6989437952</v>
      </c>
      <c r="D8426">
        <v>22522024</v>
      </c>
    </row>
    <row r="8427" spans="1:4" x14ac:dyDescent="0.25">
      <c r="A8427" t="str">
        <f>T("   271019")</f>
        <v xml:space="preserve">   271019</v>
      </c>
      <c r="B8427" t="str">
        <f>T("   Huiles moyennes et préparations, de pétrole ou de minéraux bitumineux, n.d.a.")</f>
        <v xml:space="preserve">   Huiles moyennes et préparations, de pétrole ou de minéraux bitumineux, n.d.a.</v>
      </c>
      <c r="C8427">
        <v>12087264697</v>
      </c>
      <c r="D8427">
        <v>39272323</v>
      </c>
    </row>
    <row r="8428" spans="1:4" x14ac:dyDescent="0.25">
      <c r="A8428" t="str">
        <f>T("   271099")</f>
        <v xml:space="preserve">   271099</v>
      </c>
      <c r="B8428" t="str">
        <f>T("   Déchets d'huiles contenant principalement des huiles de pétrole ou de minéraux bitumineux (à l'excl. des celles contenant des diphényles polychlorés [PCB], des terphényles polychlorés [PCT] ou des diphényles polybromés [PBB])")</f>
        <v xml:space="preserve">   Déchets d'huiles contenant principalement des huiles de pétrole ou de minéraux bitumineux (à l'excl. des celles contenant des diphényles polychlorés [PCB], des terphényles polychlorés [PCT] ou des diphényles polybromés [PBB])</v>
      </c>
      <c r="C8428">
        <v>21000</v>
      </c>
      <c r="D8428">
        <v>50</v>
      </c>
    </row>
    <row r="8429" spans="1:4" x14ac:dyDescent="0.25">
      <c r="A8429" t="str">
        <f>T("   271113")</f>
        <v xml:space="preserve">   271113</v>
      </c>
      <c r="B8429" t="str">
        <f>T("   Butanes, liquéfiés (à l'excl. des butanes d'une pureté &gt;= 95% en n-butane ou en isobutane)")</f>
        <v xml:space="preserve">   Butanes, liquéfiés (à l'excl. des butanes d'une pureté &gt;= 95% en n-butane ou en isobutane)</v>
      </c>
      <c r="C8429">
        <v>391261263</v>
      </c>
      <c r="D8429">
        <v>964891</v>
      </c>
    </row>
    <row r="8430" spans="1:4" x14ac:dyDescent="0.25">
      <c r="A8430" t="str">
        <f>T("   280110")</f>
        <v xml:space="preserve">   280110</v>
      </c>
      <c r="B8430" t="str">
        <f>T("   Chlore")</f>
        <v xml:space="preserve">   Chlore</v>
      </c>
      <c r="C8430">
        <v>594225</v>
      </c>
      <c r="D8430">
        <v>7923</v>
      </c>
    </row>
    <row r="8431" spans="1:4" x14ac:dyDescent="0.25">
      <c r="A8431" t="str">
        <f>T("   280410")</f>
        <v xml:space="preserve">   280410</v>
      </c>
      <c r="B8431" t="str">
        <f>T("   Hydrogène")</f>
        <v xml:space="preserve">   Hydrogène</v>
      </c>
      <c r="C8431">
        <v>358102</v>
      </c>
      <c r="D8431">
        <v>200</v>
      </c>
    </row>
    <row r="8432" spans="1:4" x14ac:dyDescent="0.25">
      <c r="A8432" t="str">
        <f>T("   280429")</f>
        <v xml:space="preserve">   280429</v>
      </c>
      <c r="B8432" t="str">
        <f>T("   Gaz rares (à l'excl. de l'argon)")</f>
        <v xml:space="preserve">   Gaz rares (à l'excl. de l'argon)</v>
      </c>
      <c r="C8432">
        <v>15540600</v>
      </c>
      <c r="D8432">
        <v>48935</v>
      </c>
    </row>
    <row r="8433" spans="1:4" x14ac:dyDescent="0.25">
      <c r="A8433" t="str">
        <f>T("   280440")</f>
        <v xml:space="preserve">   280440</v>
      </c>
      <c r="B8433" t="str">
        <f>T("   Oxygène")</f>
        <v xml:space="preserve">   Oxygène</v>
      </c>
      <c r="C8433">
        <v>14901538</v>
      </c>
      <c r="D8433">
        <v>16150</v>
      </c>
    </row>
    <row r="8434" spans="1:4" x14ac:dyDescent="0.25">
      <c r="A8434" t="str">
        <f>T("   280490")</f>
        <v xml:space="preserve">   280490</v>
      </c>
      <c r="B8434" t="str">
        <f>T("   Sélénium")</f>
        <v xml:space="preserve">   Sélénium</v>
      </c>
      <c r="C8434">
        <v>354145</v>
      </c>
      <c r="D8434">
        <v>300</v>
      </c>
    </row>
    <row r="8435" spans="1:4" x14ac:dyDescent="0.25">
      <c r="A8435" t="str">
        <f>T("   280610")</f>
        <v xml:space="preserve">   280610</v>
      </c>
      <c r="B8435" t="str">
        <f>T("   Chlorure d'hydrogène [acide chlorhydrique]")</f>
        <v xml:space="preserve">   Chlorure d'hydrogène [acide chlorhydrique]</v>
      </c>
      <c r="C8435">
        <v>253125</v>
      </c>
      <c r="D8435">
        <v>2673</v>
      </c>
    </row>
    <row r="8436" spans="1:4" x14ac:dyDescent="0.25">
      <c r="A8436" t="str">
        <f>T("   280700")</f>
        <v xml:space="preserve">   280700</v>
      </c>
      <c r="B8436" t="str">
        <f>T("   Acide sulfurique; oléum")</f>
        <v xml:space="preserve">   Acide sulfurique; oléum</v>
      </c>
      <c r="C8436">
        <v>174375</v>
      </c>
      <c r="D8436">
        <v>2325</v>
      </c>
    </row>
    <row r="8437" spans="1:4" x14ac:dyDescent="0.25">
      <c r="A8437" t="str">
        <f>T("   281511")</f>
        <v xml:space="preserve">   281511</v>
      </c>
      <c r="B8437" t="str">
        <f>T("   Hydroxyde de sodium [soude caustique], solide")</f>
        <v xml:space="preserve">   Hydroxyde de sodium [soude caustique], solide</v>
      </c>
      <c r="C8437">
        <v>5882880</v>
      </c>
      <c r="D8437">
        <v>102548</v>
      </c>
    </row>
    <row r="8438" spans="1:4" x14ac:dyDescent="0.25">
      <c r="A8438" t="str">
        <f>T("   281512")</f>
        <v xml:space="preserve">   281512</v>
      </c>
      <c r="B8438" t="str">
        <f>T("   Hydroxyde de sodium en solution aqueuse [lessive de soude caustique]")</f>
        <v xml:space="preserve">   Hydroxyde de sodium en solution aqueuse [lessive de soude caustique]</v>
      </c>
      <c r="C8438">
        <v>3923460</v>
      </c>
      <c r="D8438">
        <v>59591</v>
      </c>
    </row>
    <row r="8439" spans="1:4" x14ac:dyDescent="0.25">
      <c r="A8439" t="str">
        <f>T("   282810")</f>
        <v xml:space="preserve">   282810</v>
      </c>
      <c r="B8439" t="str">
        <f>T("   Hypochlorites de calcium, y.c. l'hypochlorite de calcium du commerce")</f>
        <v xml:space="preserve">   Hypochlorites de calcium, y.c. l'hypochlorite de calcium du commerce</v>
      </c>
      <c r="C8439">
        <v>52350</v>
      </c>
      <c r="D8439">
        <v>698</v>
      </c>
    </row>
    <row r="8440" spans="1:4" x14ac:dyDescent="0.25">
      <c r="A8440" t="str">
        <f>T("   282890")</f>
        <v xml:space="preserve">   282890</v>
      </c>
      <c r="B8440" t="str">
        <f>T("   Hypochlorites, chlorites et hypobromites (à l'excl. des hypochlorites de calcium)")</f>
        <v xml:space="preserve">   Hypochlorites, chlorites et hypobromites (à l'excl. des hypochlorites de calcium)</v>
      </c>
      <c r="C8440">
        <v>9751875</v>
      </c>
      <c r="D8440">
        <v>114152</v>
      </c>
    </row>
    <row r="8441" spans="1:4" x14ac:dyDescent="0.25">
      <c r="A8441" t="str">
        <f>T("   283329")</f>
        <v xml:space="preserve">   283329</v>
      </c>
      <c r="B8441" t="str">
        <f>T("   SULFATES (AUTRES QUE DE SODIUM, DE MAGNÉSIUM, D'ALUMINIUM, DE NICKEL, DE CUIVRE, DE BARYUM OU DE MERCURE)")</f>
        <v xml:space="preserve">   SULFATES (AUTRES QUE DE SODIUM, DE MAGNÉSIUM, D'ALUMINIUM, DE NICKEL, DE CUIVRE, DE BARYUM OU DE MERCURE)</v>
      </c>
      <c r="C8441">
        <v>6600</v>
      </c>
      <c r="D8441">
        <v>88</v>
      </c>
    </row>
    <row r="8442" spans="1:4" x14ac:dyDescent="0.25">
      <c r="A8442" t="str">
        <f>T("   283330")</f>
        <v xml:space="preserve">   283330</v>
      </c>
      <c r="B8442" t="str">
        <f>T("   Aluns")</f>
        <v xml:space="preserve">   Aluns</v>
      </c>
      <c r="C8442">
        <v>208000</v>
      </c>
      <c r="D8442">
        <v>1040</v>
      </c>
    </row>
    <row r="8443" spans="1:4" x14ac:dyDescent="0.25">
      <c r="A8443" t="str">
        <f>T("   283650")</f>
        <v xml:space="preserve">   283650</v>
      </c>
      <c r="B8443" t="str">
        <f>T("   Carbonate de calcium")</f>
        <v xml:space="preserve">   Carbonate de calcium</v>
      </c>
      <c r="C8443">
        <v>271500</v>
      </c>
      <c r="D8443">
        <v>1810</v>
      </c>
    </row>
    <row r="8444" spans="1:4" x14ac:dyDescent="0.25">
      <c r="A8444" t="str">
        <f>T("   283699")</f>
        <v xml:space="preserve">   283699</v>
      </c>
      <c r="B8444" t="s">
        <v>65</v>
      </c>
      <c r="C8444">
        <v>75000</v>
      </c>
      <c r="D8444">
        <v>500</v>
      </c>
    </row>
    <row r="8445" spans="1:4" x14ac:dyDescent="0.25">
      <c r="A8445" t="str">
        <f>T("   284700")</f>
        <v xml:space="preserve">   284700</v>
      </c>
      <c r="B8445" t="str">
        <f>T("   Peroxyde d'hydrogène [eau oxygénée], même solidifié avec de l'urée")</f>
        <v xml:space="preserve">   Peroxyde d'hydrogène [eau oxygénée], même solidifié avec de l'urée</v>
      </c>
      <c r="C8445">
        <v>146950</v>
      </c>
      <c r="D8445">
        <v>1175</v>
      </c>
    </row>
    <row r="8446" spans="1:4" x14ac:dyDescent="0.25">
      <c r="A8446" t="str">
        <f>T("   284990")</f>
        <v xml:space="preserve">   284990</v>
      </c>
      <c r="B8446" t="str">
        <f>T("   Carbures, de constitution chimique définie ou non (à l'excl. des carbures de calcium et de silicium)")</f>
        <v xml:space="preserve">   Carbures, de constitution chimique définie ou non (à l'excl. des carbures de calcium et de silicium)</v>
      </c>
      <c r="C8446">
        <v>1068305</v>
      </c>
      <c r="D8446">
        <v>1363</v>
      </c>
    </row>
    <row r="8447" spans="1:4" x14ac:dyDescent="0.25">
      <c r="A8447" t="str">
        <f>T("   290110")</f>
        <v xml:space="preserve">   290110</v>
      </c>
      <c r="B8447" t="str">
        <f>T("   Hydrocarbures acycliques, saturés")</f>
        <v xml:space="preserve">   Hydrocarbures acycliques, saturés</v>
      </c>
      <c r="C8447">
        <v>50000</v>
      </c>
      <c r="D8447">
        <v>125</v>
      </c>
    </row>
    <row r="8448" spans="1:4" x14ac:dyDescent="0.25">
      <c r="A8448" t="str">
        <f>T("   292242")</f>
        <v xml:space="preserve">   292242</v>
      </c>
      <c r="B8448" t="str">
        <f>T("   Acide glutamique et ses sels")</f>
        <v xml:space="preserve">   Acide glutamique et ses sels</v>
      </c>
      <c r="C8448">
        <v>98000</v>
      </c>
      <c r="D8448">
        <v>140</v>
      </c>
    </row>
    <row r="8449" spans="1:4" x14ac:dyDescent="0.25">
      <c r="A8449" t="str">
        <f>T("   292690")</f>
        <v xml:space="preserve">   292690</v>
      </c>
      <c r="B8449" t="str">
        <f>T("   Composés à fonction nitrile (à l'excl. de l'acrylonitrile, de la 1-cyanoguanidine [dicyandiamide], du fenproporex [DCI] et ses sels, et du méthadone [DCI]-intermédiaire [4-cyano-2-diméthylamino-4,4-diphénylbutane])")</f>
        <v xml:space="preserve">   Composés à fonction nitrile (à l'excl. de l'acrylonitrile, de la 1-cyanoguanidine [dicyandiamide], du fenproporex [DCI] et ses sels, et du méthadone [DCI]-intermédiaire [4-cyano-2-diméthylamino-4,4-diphénylbutane])</v>
      </c>
      <c r="C8449">
        <v>14000</v>
      </c>
      <c r="D8449">
        <v>70</v>
      </c>
    </row>
    <row r="8450" spans="1:4" x14ac:dyDescent="0.25">
      <c r="A8450" t="str">
        <f>T("   300339")</f>
        <v xml:space="preserve">   300339</v>
      </c>
      <c r="B8450" t="str">
        <f>T("   Médicaments contenant des hormones ou des stéroïdes utilisés comme hormones, mais ne contenant pas d'antibiotiques, non présentés sous forme de doses, ni conditionnés pour la vente au détail (à l'excl. des médicaments contenant de l'insuline)")</f>
        <v xml:space="preserve">   Médicaments contenant des hormones ou des stéroïdes utilisés comme hormones, mais ne contenant pas d'antibiotiques, non présentés sous forme de doses, ni conditionnés pour la vente au détail (à l'excl. des médicaments contenant de l'insuline)</v>
      </c>
      <c r="C8450">
        <v>25920</v>
      </c>
      <c r="D8450">
        <v>25</v>
      </c>
    </row>
    <row r="8451" spans="1:4" x14ac:dyDescent="0.25">
      <c r="A8451" t="str">
        <f>T("   300390")</f>
        <v xml:space="preserve">   300390</v>
      </c>
      <c r="B8451" t="s">
        <v>75</v>
      </c>
      <c r="C8451">
        <v>1213380</v>
      </c>
      <c r="D8451">
        <v>2040</v>
      </c>
    </row>
    <row r="8452" spans="1:4" x14ac:dyDescent="0.25">
      <c r="A8452" t="str">
        <f>T("   300610")</f>
        <v xml:space="preserve">   300610</v>
      </c>
      <c r="B8452" t="s">
        <v>82</v>
      </c>
      <c r="C8452">
        <v>304560</v>
      </c>
      <c r="D8452">
        <v>22</v>
      </c>
    </row>
    <row r="8453" spans="1:4" x14ac:dyDescent="0.25">
      <c r="A8453" t="str">
        <f>T("   300670")</f>
        <v xml:space="preserve">   300670</v>
      </c>
      <c r="B8453" t="s">
        <v>83</v>
      </c>
      <c r="C8453">
        <v>432864</v>
      </c>
      <c r="D8453">
        <v>168</v>
      </c>
    </row>
    <row r="8454" spans="1:4" x14ac:dyDescent="0.25">
      <c r="A8454" t="str">
        <f>T("   310520")</f>
        <v xml:space="preserve">   310520</v>
      </c>
      <c r="B8454" t="str">
        <f>T("   Engrais minéraux ou chimiques contenant les trois éléments fertilisants : azote, phosphore et potassium (à l'excl. des produits présentés soit en tablettes ou formes simil., soit en emballages d'un poids brut &lt;= 10 kg)")</f>
        <v xml:space="preserve">   Engrais minéraux ou chimiques contenant les trois éléments fertilisants : azote, phosphore et potassium (à l'excl. des produits présentés soit en tablettes ou formes simil., soit en emballages d'un poids brut &lt;= 10 kg)</v>
      </c>
      <c r="C8454">
        <v>3421050</v>
      </c>
      <c r="D8454">
        <v>113292</v>
      </c>
    </row>
    <row r="8455" spans="1:4" x14ac:dyDescent="0.25">
      <c r="A8455" t="str">
        <f>T("   320300")</f>
        <v xml:space="preserve">   320300</v>
      </c>
      <c r="B8455" t="s">
        <v>86</v>
      </c>
      <c r="C8455">
        <v>380070</v>
      </c>
      <c r="D8455">
        <v>217</v>
      </c>
    </row>
    <row r="8456" spans="1:4" x14ac:dyDescent="0.25">
      <c r="A8456" t="str">
        <f>T("   320413")</f>
        <v xml:space="preserve">   320413</v>
      </c>
      <c r="B8456" t="s">
        <v>88</v>
      </c>
      <c r="C8456">
        <v>538048</v>
      </c>
      <c r="D8456">
        <v>400</v>
      </c>
    </row>
    <row r="8457" spans="1:4" x14ac:dyDescent="0.25">
      <c r="A8457" t="str">
        <f>T("   320490")</f>
        <v xml:space="preserve">   320490</v>
      </c>
      <c r="B8457" t="str">
        <f>T("   Produits organiques synthétiques des types utilisés comme luminophores, même de constitution chimique définie")</f>
        <v xml:space="preserve">   Produits organiques synthétiques des types utilisés comme luminophores, même de constitution chimique définie</v>
      </c>
      <c r="C8457">
        <v>1537997</v>
      </c>
      <c r="D8457">
        <v>1074</v>
      </c>
    </row>
    <row r="8458" spans="1:4" x14ac:dyDescent="0.25">
      <c r="A8458" t="str">
        <f>T("   320820")</f>
        <v xml:space="preserve">   320820</v>
      </c>
      <c r="B8458" t="s">
        <v>96</v>
      </c>
      <c r="C8458">
        <v>1442700</v>
      </c>
      <c r="D8458">
        <v>3190</v>
      </c>
    </row>
    <row r="8459" spans="1:4" x14ac:dyDescent="0.25">
      <c r="A8459" t="str">
        <f>T("   320910")</f>
        <v xml:space="preserve">   320910</v>
      </c>
      <c r="B8459" t="str">
        <f>T("   Peintures et vernis à base de polymères acryliques ou vinyliques, dispersés ou dissous dans un milieu aqueux")</f>
        <v xml:space="preserve">   Peintures et vernis à base de polymères acryliques ou vinyliques, dispersés ou dissous dans un milieu aqueux</v>
      </c>
      <c r="C8459">
        <v>1366177</v>
      </c>
      <c r="D8459">
        <v>4472</v>
      </c>
    </row>
    <row r="8460" spans="1:4" x14ac:dyDescent="0.25">
      <c r="A8460" t="str">
        <f>T("   321000")</f>
        <v xml:space="preserve">   321000</v>
      </c>
      <c r="B8460" t="str">
        <f>T("   Peintures et vernis (à l'excl. des produits à base de polymères synthétiques ou de polymères naturels modifiés); pigments à l'eau préparés des types utilisés pour le finissage des cuirs")</f>
        <v xml:space="preserve">   Peintures et vernis (à l'excl. des produits à base de polymères synthétiques ou de polymères naturels modifiés); pigments à l'eau préparés des types utilisés pour le finissage des cuirs</v>
      </c>
      <c r="C8460">
        <v>335459</v>
      </c>
      <c r="D8460">
        <v>395</v>
      </c>
    </row>
    <row r="8461" spans="1:4" x14ac:dyDescent="0.25">
      <c r="A8461" t="str">
        <f>T("   321519")</f>
        <v xml:space="preserve">   321519</v>
      </c>
      <c r="B8461" t="str">
        <f>T("   Encres d'imprimerie, même concentrées ou sous formes solides (à l'excl. des encres noires)")</f>
        <v xml:space="preserve">   Encres d'imprimerie, même concentrées ou sous formes solides (à l'excl. des encres noires)</v>
      </c>
      <c r="C8461">
        <v>1842720</v>
      </c>
      <c r="D8461">
        <v>3744</v>
      </c>
    </row>
    <row r="8462" spans="1:4" x14ac:dyDescent="0.25">
      <c r="A8462" t="str">
        <f>T("   330300")</f>
        <v xml:space="preserve">   330300</v>
      </c>
      <c r="B8462" t="str">
        <f>T("   Parfums et eaux de toilette (à l'excl. des préparations pour l'après-rasage [lotions after-shave] et des désodorisants corporels)")</f>
        <v xml:space="preserve">   Parfums et eaux de toilette (à l'excl. des préparations pour l'après-rasage [lotions after-shave] et des désodorisants corporels)</v>
      </c>
      <c r="C8462">
        <v>59500</v>
      </c>
      <c r="D8462">
        <v>70</v>
      </c>
    </row>
    <row r="8463" spans="1:4" x14ac:dyDescent="0.25">
      <c r="A8463" t="str">
        <f>T("   330420")</f>
        <v xml:space="preserve">   330420</v>
      </c>
      <c r="B8463" t="str">
        <f>T("   Produits de maquillage pour les yeux")</f>
        <v xml:space="preserve">   Produits de maquillage pour les yeux</v>
      </c>
      <c r="C8463">
        <v>169750</v>
      </c>
      <c r="D8463">
        <v>140</v>
      </c>
    </row>
    <row r="8464" spans="1:4" x14ac:dyDescent="0.25">
      <c r="A8464" t="str">
        <f>T("   330491")</f>
        <v xml:space="preserve">   330491</v>
      </c>
      <c r="B8464" t="str">
        <f>T("   Poudres pour le maquillage ou l'entretien ou les soins de la peau, y.c. les poudres pour bébés et les poudres compactes (à l'excl. des médicaments)")</f>
        <v xml:space="preserve">   Poudres pour le maquillage ou l'entretien ou les soins de la peau, y.c. les poudres pour bébés et les poudres compactes (à l'excl. des médicaments)</v>
      </c>
      <c r="C8464">
        <v>150000</v>
      </c>
      <c r="D8464">
        <v>60</v>
      </c>
    </row>
    <row r="8465" spans="1:4" x14ac:dyDescent="0.25">
      <c r="A8465" t="str">
        <f>T("   330499")</f>
        <v xml:space="preserve">   330499</v>
      </c>
      <c r="B8465" t="s">
        <v>101</v>
      </c>
      <c r="C8465">
        <v>49222776</v>
      </c>
      <c r="D8465">
        <v>60009</v>
      </c>
    </row>
    <row r="8466" spans="1:4" x14ac:dyDescent="0.25">
      <c r="A8466" t="str">
        <f>T("   330690")</f>
        <v xml:space="preserve">   330690</v>
      </c>
      <c r="B8466" t="str">
        <f>T("   Préparations pour l'hygiène buccale ou dentaire, y.c. les poudres et crèmes pour faciliter l'adhérence des dentiers (à l'excl. des dentifrices et des fils utilisés pour nettoyer les espaces interdentaires [fils dentaires])")</f>
        <v xml:space="preserve">   Préparations pour l'hygiène buccale ou dentaire, y.c. les poudres et crèmes pour faciliter l'adhérence des dentiers (à l'excl. des dentifrices et des fils utilisés pour nettoyer les espaces interdentaires [fils dentaires])</v>
      </c>
      <c r="C8466">
        <v>6000</v>
      </c>
      <c r="D8466">
        <v>30</v>
      </c>
    </row>
    <row r="8467" spans="1:4" x14ac:dyDescent="0.25">
      <c r="A8467" t="str">
        <f>T("   330720")</f>
        <v xml:space="preserve">   330720</v>
      </c>
      <c r="B8467" t="str">
        <f>T("   Désodorisants corporels et antisudoraux, préparés")</f>
        <v xml:space="preserve">   Désodorisants corporels et antisudoraux, préparés</v>
      </c>
      <c r="C8467">
        <v>215200</v>
      </c>
      <c r="D8467">
        <v>276</v>
      </c>
    </row>
    <row r="8468" spans="1:4" x14ac:dyDescent="0.25">
      <c r="A8468" t="str">
        <f>T("   330730")</f>
        <v xml:space="preserve">   330730</v>
      </c>
      <c r="B8468" t="str">
        <f>T("   Sels parfumés et autres préparations pour bains")</f>
        <v xml:space="preserve">   Sels parfumés et autres préparations pour bains</v>
      </c>
      <c r="C8468">
        <v>208000</v>
      </c>
      <c r="D8468">
        <v>225</v>
      </c>
    </row>
    <row r="8469" spans="1:4" x14ac:dyDescent="0.25">
      <c r="A8469" t="str">
        <f>T("   330790")</f>
        <v xml:space="preserve">   330790</v>
      </c>
      <c r="B8469" t="str">
        <f>T("   Dépilatoires, autres produits de parfumerie ou de toilette préparés et autres préparations cosmétiques, n.d.a.")</f>
        <v xml:space="preserve">   Dépilatoires, autres produits de parfumerie ou de toilette préparés et autres préparations cosmétiques, n.d.a.</v>
      </c>
      <c r="C8469">
        <v>24000</v>
      </c>
      <c r="D8469">
        <v>30</v>
      </c>
    </row>
    <row r="8470" spans="1:4" x14ac:dyDescent="0.25">
      <c r="A8470" t="str">
        <f>T("   340111")</f>
        <v xml:space="preserve">   340111</v>
      </c>
      <c r="B8470" t="s">
        <v>102</v>
      </c>
      <c r="C8470">
        <v>797960</v>
      </c>
      <c r="D8470">
        <v>2985</v>
      </c>
    </row>
    <row r="8471" spans="1:4" x14ac:dyDescent="0.25">
      <c r="A8471" t="str">
        <f>T("   340120")</f>
        <v xml:space="preserve">   340120</v>
      </c>
      <c r="B8471" t="str">
        <f>T("   Savons en flocons, en paillettes, en granulés ou en poudres et savons liquides ou pâteux")</f>
        <v xml:space="preserve">   Savons en flocons, en paillettes, en granulés ou en poudres et savons liquides ou pâteux</v>
      </c>
      <c r="C8471">
        <v>259200</v>
      </c>
      <c r="D8471">
        <v>100</v>
      </c>
    </row>
    <row r="8472" spans="1:4" x14ac:dyDescent="0.25">
      <c r="A8472" t="str">
        <f>T("   340220")</f>
        <v xml:space="preserve">   340220</v>
      </c>
      <c r="B8472" t="s">
        <v>104</v>
      </c>
      <c r="C8472">
        <v>5949400</v>
      </c>
      <c r="D8472">
        <v>24727</v>
      </c>
    </row>
    <row r="8473" spans="1:4" x14ac:dyDescent="0.25">
      <c r="A8473" t="str">
        <f>T("   340540")</f>
        <v xml:space="preserve">   340540</v>
      </c>
      <c r="B8473" t="str">
        <f>T("   Pâtes, poudres et autres préparations à récurer, même sous forme de papier, ouates, feutres, nontissés, matière plastique ou caoutchouc alvéolaires, imprégnés, enduits ou recouverts de ces préparations")</f>
        <v xml:space="preserve">   Pâtes, poudres et autres préparations à récurer, même sous forme de papier, ouates, feutres, nontissés, matière plastique ou caoutchouc alvéolaires, imprégnés, enduits ou recouverts de ces préparations</v>
      </c>
      <c r="C8473">
        <v>53325</v>
      </c>
      <c r="D8473">
        <v>135</v>
      </c>
    </row>
    <row r="8474" spans="1:4" x14ac:dyDescent="0.25">
      <c r="A8474" t="str">
        <f>T("   340600")</f>
        <v xml:space="preserve">   340600</v>
      </c>
      <c r="B8474" t="str">
        <f>T("   Bougies, chandelles, cierges et articles simil.")</f>
        <v xml:space="preserve">   Bougies, chandelles, cierges et articles simil.</v>
      </c>
      <c r="C8474">
        <v>4463612</v>
      </c>
      <c r="D8474">
        <v>19599</v>
      </c>
    </row>
    <row r="8475" spans="1:4" x14ac:dyDescent="0.25">
      <c r="A8475" t="str">
        <f>T("   350520")</f>
        <v xml:space="preserve">   350520</v>
      </c>
      <c r="B8475" t="str">
        <f>T("   Colles à base d'amidons ou de fécules, de dextrine ou d'autres amidons ou fécules modifiés (à l'excl. des produits conditionnés pour la vente au détail comme colles et d'un poids net &lt;= 1 kg)")</f>
        <v xml:space="preserve">   Colles à base d'amidons ou de fécules, de dextrine ou d'autres amidons ou fécules modifiés (à l'excl. des produits conditionnés pour la vente au détail comme colles et d'un poids net &lt;= 1 kg)</v>
      </c>
      <c r="C8475">
        <v>267701</v>
      </c>
      <c r="D8475">
        <v>200</v>
      </c>
    </row>
    <row r="8476" spans="1:4" x14ac:dyDescent="0.25">
      <c r="A8476" t="str">
        <f>T("   350610")</f>
        <v xml:space="preserve">   350610</v>
      </c>
      <c r="B8476" t="str">
        <f>T("   Produits de toute espèce à usage de colles ou d'adhésifs, conditionnés pour la vente au détail comme colles ou adhésifs, d'un poids net &lt;= 1 kg")</f>
        <v xml:space="preserve">   Produits de toute espèce à usage de colles ou d'adhésifs, conditionnés pour la vente au détail comme colles ou adhésifs, d'un poids net &lt;= 1 kg</v>
      </c>
      <c r="C8476">
        <v>5598500</v>
      </c>
      <c r="D8476">
        <v>9152</v>
      </c>
    </row>
    <row r="8477" spans="1:4" x14ac:dyDescent="0.25">
      <c r="A8477" t="str">
        <f>T("   350699")</f>
        <v xml:space="preserve">   350699</v>
      </c>
      <c r="B8477" t="str">
        <f>T("   Colles et autres adhésifs préparés, n.d.a.")</f>
        <v xml:space="preserve">   Colles et autres adhésifs préparés, n.d.a.</v>
      </c>
      <c r="C8477">
        <v>85840</v>
      </c>
      <c r="D8477">
        <v>148</v>
      </c>
    </row>
    <row r="8478" spans="1:4" x14ac:dyDescent="0.25">
      <c r="A8478" t="str">
        <f>T("   370390")</f>
        <v xml:space="preserve">   370390</v>
      </c>
      <c r="B8478" t="str">
        <f>T("   PAPIERS, CARTONS ET TEXTILES, PHOTOGRAPHIQUES, SENSIBILISÉS, NON-IMPRESSIONNÉS, POUR LA PHOTOGRAPHIE EN MONOCHROME (À L'EXCL. DES PRODUITS EN ROULEAUX D'UNE LARGEUR &gt; 610 MM)")</f>
        <v xml:space="preserve">   PAPIERS, CARTONS ET TEXTILES, PHOTOGRAPHIQUES, SENSIBILISÉS, NON-IMPRESSIONNÉS, POUR LA PHOTOGRAPHIE EN MONOCHROME (À L'EXCL. DES PRODUITS EN ROULEAUX D'UNE LARGEUR &gt; 610 MM)</v>
      </c>
      <c r="C8478">
        <v>87000</v>
      </c>
      <c r="D8478">
        <v>290</v>
      </c>
    </row>
    <row r="8479" spans="1:4" x14ac:dyDescent="0.25">
      <c r="A8479" t="str">
        <f>T("   370400")</f>
        <v xml:space="preserve">   370400</v>
      </c>
      <c r="B8479" t="str">
        <f>T("   PLAQUES, PELLICULES, FILMS, PAPIERS, CARTONS ET TEXTILES, PHOTOGRAPHIQUES, IMPRESSIONNÉS MAIS NON-DÉVELOPPÉS")</f>
        <v xml:space="preserve">   PLAQUES, PELLICULES, FILMS, PAPIERS, CARTONS ET TEXTILES, PHOTOGRAPHIQUES, IMPRESSIONNÉS MAIS NON-DÉVELOPPÉS</v>
      </c>
      <c r="C8479">
        <v>244200</v>
      </c>
      <c r="D8479">
        <v>1628</v>
      </c>
    </row>
    <row r="8480" spans="1:4" x14ac:dyDescent="0.25">
      <c r="A8480" t="str">
        <f>T("   370590")</f>
        <v xml:space="preserve">   370590</v>
      </c>
      <c r="B8480" t="str">
        <f>T("   PLAQUES ET PELLICULES, PHOTOGRAPHIQUES, IMPRESSIONNÉES ET DÉVELOPPÉES (À L'EXCL. DES FILMS CINÉMATOGRAPHIQUES, DES PELLICULES POUR LA REPRODUCTION OFFSET AINSI QUE DES PRODUITS EN PAPIER, EN CARTON OU EN MATIÈRES TEXTILES)")</f>
        <v xml:space="preserve">   PLAQUES ET PELLICULES, PHOTOGRAPHIQUES, IMPRESSIONNÉES ET DÉVELOPPÉES (À L'EXCL. DES FILMS CINÉMATOGRAPHIQUES, DES PELLICULES POUR LA REPRODUCTION OFFSET AINSI QUE DES PRODUITS EN PAPIER, EN CARTON OU EN MATIÈRES TEXTILES)</v>
      </c>
      <c r="C8480">
        <v>210750</v>
      </c>
      <c r="D8480">
        <v>1255</v>
      </c>
    </row>
    <row r="8481" spans="1:4" x14ac:dyDescent="0.25">
      <c r="A8481" t="str">
        <f>T("   370790")</f>
        <v xml:space="preserve">   370790</v>
      </c>
      <c r="B8481" t="s">
        <v>118</v>
      </c>
      <c r="C8481">
        <v>190500</v>
      </c>
      <c r="D8481">
        <v>390</v>
      </c>
    </row>
    <row r="8482" spans="1:4" x14ac:dyDescent="0.25">
      <c r="A8482" t="str">
        <f>T("   380810")</f>
        <v xml:space="preserve">   380810</v>
      </c>
      <c r="B8482" t="str">
        <f>T("   Insecticides présentés dans des formes ou emballages de vente au détail ou à l'état de préparations ou sous forme d'articles")</f>
        <v xml:space="preserve">   Insecticides présentés dans des formes ou emballages de vente au détail ou à l'état de préparations ou sous forme d'articles</v>
      </c>
      <c r="C8482">
        <v>8045550</v>
      </c>
      <c r="D8482">
        <v>61150</v>
      </c>
    </row>
    <row r="8483" spans="1:4" x14ac:dyDescent="0.25">
      <c r="A8483" t="str">
        <f>T("   381400")</f>
        <v xml:space="preserve">   381400</v>
      </c>
      <c r="B8483" t="str">
        <f>T("   Solvants et diluants organiques composites, n.d.a.; préparations conçues pour enlever les peintures ou les vernis (à l'excl. des dissolvants pour vernis à ongles)")</f>
        <v xml:space="preserve">   Solvants et diluants organiques composites, n.d.a.; préparations conçues pour enlever les peintures ou les vernis (à l'excl. des dissolvants pour vernis à ongles)</v>
      </c>
      <c r="C8483">
        <v>7964899</v>
      </c>
      <c r="D8483">
        <v>11965</v>
      </c>
    </row>
    <row r="8484" spans="1:4" x14ac:dyDescent="0.25">
      <c r="A8484" t="str">
        <f>T("   390120")</f>
        <v xml:space="preserve">   390120</v>
      </c>
      <c r="B8484" t="str">
        <f>T("   Polyéthylène d'une densité &gt;= 0,94, sous formes primaires")</f>
        <v xml:space="preserve">   Polyéthylène d'une densité &gt;= 0,94, sous formes primaires</v>
      </c>
      <c r="C8484">
        <v>19164893</v>
      </c>
      <c r="D8484">
        <v>23371</v>
      </c>
    </row>
    <row r="8485" spans="1:4" x14ac:dyDescent="0.25">
      <c r="A8485" t="str">
        <f>T("   390210")</f>
        <v xml:space="preserve">   390210</v>
      </c>
      <c r="B8485" t="str">
        <f>T("   Polypropylène, sous formes primaires")</f>
        <v xml:space="preserve">   Polypropylène, sous formes primaires</v>
      </c>
      <c r="C8485">
        <v>11775365</v>
      </c>
      <c r="D8485">
        <v>140634</v>
      </c>
    </row>
    <row r="8486" spans="1:4" x14ac:dyDescent="0.25">
      <c r="A8486" t="str">
        <f>T("   390590")</f>
        <v xml:space="preserve">   390590</v>
      </c>
      <c r="B8486" t="s">
        <v>128</v>
      </c>
      <c r="C8486">
        <v>1220000</v>
      </c>
      <c r="D8486">
        <v>6100</v>
      </c>
    </row>
    <row r="8487" spans="1:4" x14ac:dyDescent="0.25">
      <c r="A8487" t="str">
        <f>T("   390799")</f>
        <v xml:space="preserve">   390799</v>
      </c>
      <c r="B8487" t="str">
        <f>T("   POLYESTERS, SATURÉS, SOUS FORMES PRIMAIRES (À L'EXCL. DES POLYCARBONATES, DES RÉSINES ALKYDES ET DU POLY[ÉTHYLÈNE TÉRÉPHTALATE]) [01/01/1988-31/12/1993: POLYESTERS ALLYLIQUES ET AUTRES POLYESTERS, SATURÉS, SOUS FORMES PRIMAIRES]")</f>
        <v xml:space="preserve">   POLYESTERS, SATURÉS, SOUS FORMES PRIMAIRES (À L'EXCL. DES POLYCARBONATES, DES RÉSINES ALKYDES ET DU POLY[ÉTHYLÈNE TÉRÉPHTALATE]) [01/01/1988-31/12/1993: POLYESTERS ALLYLIQUES ET AUTRES POLYESTERS, SATURÉS, SOUS FORMES PRIMAIRES]</v>
      </c>
      <c r="C8487">
        <v>2400</v>
      </c>
      <c r="D8487">
        <v>30</v>
      </c>
    </row>
    <row r="8488" spans="1:4" x14ac:dyDescent="0.25">
      <c r="A8488" t="str">
        <f>T("   391590")</f>
        <v xml:space="preserve">   391590</v>
      </c>
      <c r="B8488" t="str">
        <f>T("   Déchets, rognures et débris de matières plastiques (à l'excl. des déchets, rognures et débris de polymères de l'éthylène, du styrène ou du chlorure de vinyle)")</f>
        <v xml:space="preserve">   Déchets, rognures et débris de matières plastiques (à l'excl. des déchets, rognures et débris de polymères de l'éthylène, du styrène ou du chlorure de vinyle)</v>
      </c>
      <c r="C8488">
        <v>80000</v>
      </c>
      <c r="D8488">
        <v>400</v>
      </c>
    </row>
    <row r="8489" spans="1:4" x14ac:dyDescent="0.25">
      <c r="A8489" t="str">
        <f>T("   391721")</f>
        <v xml:space="preserve">   391721</v>
      </c>
      <c r="B8489" t="str">
        <f>T("   TUBES ET TUYAUX RIGIDES, EN POLYMÈRES DE L'ÉTHYLÈNE")</f>
        <v xml:space="preserve">   TUBES ET TUYAUX RIGIDES, EN POLYMÈRES DE L'ÉTHYLÈNE</v>
      </c>
      <c r="C8489">
        <v>366550</v>
      </c>
      <c r="D8489">
        <v>255</v>
      </c>
    </row>
    <row r="8490" spans="1:4" x14ac:dyDescent="0.25">
      <c r="A8490" t="str">
        <f>T("   391723")</f>
        <v xml:space="preserve">   391723</v>
      </c>
      <c r="B8490" t="str">
        <f>T("   TUBES ET TUYAUX RIGIDES, EN POLYMÈRES DU CHLORURE DE VINYLE")</f>
        <v xml:space="preserve">   TUBES ET TUYAUX RIGIDES, EN POLYMÈRES DU CHLORURE DE VINYLE</v>
      </c>
      <c r="C8490">
        <v>190000</v>
      </c>
      <c r="D8490">
        <v>350</v>
      </c>
    </row>
    <row r="8491" spans="1:4" x14ac:dyDescent="0.25">
      <c r="A8491" t="str">
        <f>T("   391729")</f>
        <v xml:space="preserve">   391729</v>
      </c>
      <c r="B8491" t="str">
        <f>T("   TUBES ET TUYAUX RIGIDES, EN MATIÈRES PLASTIQUES (À L'EXCL. DES TUBES ET TUYAUX EN POLYMÈRES DE L'ÉTHYLÈNE, DU PROPYLÈNE OU DU CHLORURE DE VINYLE)")</f>
        <v xml:space="preserve">   TUBES ET TUYAUX RIGIDES, EN MATIÈRES PLASTIQUES (À L'EXCL. DES TUBES ET TUYAUX EN POLYMÈRES DE L'ÉTHYLÈNE, DU PROPYLÈNE OU DU CHLORURE DE VINYLE)</v>
      </c>
      <c r="C8491">
        <v>268625</v>
      </c>
      <c r="D8491">
        <v>445</v>
      </c>
    </row>
    <row r="8492" spans="1:4" x14ac:dyDescent="0.25">
      <c r="A8492" t="str">
        <f>T("   391739")</f>
        <v xml:space="preserve">   391739</v>
      </c>
      <c r="B8492" t="str">
        <f>T("   TUBES ET TUYAUX SOUPLES, EN MATIÈRES PLASTIQUES, RENFORCÉS D'AUTRES MATIÈRES OU ASSOCIÉS À D'AUTRES MATIÈRES (À L'EXCL. DES PRODUITS POUVANT SUPPORTER UNE PRESSION &gt;= 27,6 MPA)")</f>
        <v xml:space="preserve">   TUBES ET TUYAUX SOUPLES, EN MATIÈRES PLASTIQUES, RENFORCÉS D'AUTRES MATIÈRES OU ASSOCIÉS À D'AUTRES MATIÈRES (À L'EXCL. DES PRODUITS POUVANT SUPPORTER UNE PRESSION &gt;= 27,6 MPA)</v>
      </c>
      <c r="C8492">
        <v>32400</v>
      </c>
      <c r="D8492">
        <v>16</v>
      </c>
    </row>
    <row r="8493" spans="1:4" x14ac:dyDescent="0.25">
      <c r="A8493" t="str">
        <f>T("   391740")</f>
        <v xml:space="preserve">   391740</v>
      </c>
      <c r="B8493" t="str">
        <f>T("   Accessoires pour tubes ou tuyaux [joints, coudes, raccords, par exemple], en matières plastiques")</f>
        <v xml:space="preserve">   Accessoires pour tubes ou tuyaux [joints, coudes, raccords, par exemple], en matières plastiques</v>
      </c>
      <c r="C8493">
        <v>309607</v>
      </c>
      <c r="D8493">
        <v>290</v>
      </c>
    </row>
    <row r="8494" spans="1:4" x14ac:dyDescent="0.25">
      <c r="A8494" t="str">
        <f>T("   391890")</f>
        <v xml:space="preserve">   391890</v>
      </c>
      <c r="B8494" t="s">
        <v>132</v>
      </c>
      <c r="C8494">
        <v>283440</v>
      </c>
      <c r="D8494">
        <v>470</v>
      </c>
    </row>
    <row r="8495" spans="1:4" x14ac:dyDescent="0.25">
      <c r="A8495" t="str">
        <f>T("   392119")</f>
        <v xml:space="preserve">   392119</v>
      </c>
      <c r="B8495" t="s">
        <v>148</v>
      </c>
      <c r="C8495">
        <v>317000</v>
      </c>
      <c r="D8495">
        <v>778</v>
      </c>
    </row>
    <row r="8496" spans="1:4" x14ac:dyDescent="0.25">
      <c r="A8496" t="str">
        <f>T("   392190")</f>
        <v xml:space="preserve">   392190</v>
      </c>
      <c r="B8496" t="s">
        <v>149</v>
      </c>
      <c r="C8496">
        <v>41494647</v>
      </c>
      <c r="D8496">
        <v>73766</v>
      </c>
    </row>
    <row r="8497" spans="1:4" x14ac:dyDescent="0.25">
      <c r="A8497" t="str">
        <f>T("   392310")</f>
        <v xml:space="preserve">   392310</v>
      </c>
      <c r="B8497" t="str">
        <f>T("   Boîtes, caisses, casiers et articles simil. pour le transport ou l'emballage, en matières plastiques")</f>
        <v xml:space="preserve">   Boîtes, caisses, casiers et articles simil. pour le transport ou l'emballage, en matières plastiques</v>
      </c>
      <c r="C8497">
        <v>7069444</v>
      </c>
      <c r="D8497">
        <v>10774</v>
      </c>
    </row>
    <row r="8498" spans="1:4" x14ac:dyDescent="0.25">
      <c r="A8498" t="str">
        <f>T("   392329")</f>
        <v xml:space="preserve">   392329</v>
      </c>
      <c r="B8498" t="str">
        <f>T("   Sacs, sachets, pochettes et cornets, en matières plastiques (autres que les polymères de l'éthylène)")</f>
        <v xml:space="preserve">   Sacs, sachets, pochettes et cornets, en matières plastiques (autres que les polymères de l'éthylène)</v>
      </c>
      <c r="C8498">
        <v>32164141</v>
      </c>
      <c r="D8498">
        <v>183847</v>
      </c>
    </row>
    <row r="8499" spans="1:4" x14ac:dyDescent="0.25">
      <c r="A8499" t="str">
        <f>T("   392330")</f>
        <v xml:space="preserve">   392330</v>
      </c>
      <c r="B8499" t="str">
        <f>T("   Bonbonnes, bouteilles, flacons et articles simil. pour le transport ou l'emballage, en matières plastiques")</f>
        <v xml:space="preserve">   Bonbonnes, bouteilles, flacons et articles simil. pour le transport ou l'emballage, en matières plastiques</v>
      </c>
      <c r="C8499">
        <v>1160200</v>
      </c>
      <c r="D8499">
        <v>17812</v>
      </c>
    </row>
    <row r="8500" spans="1:4" x14ac:dyDescent="0.25">
      <c r="A8500" t="str">
        <f>T("   392350")</f>
        <v xml:space="preserve">   392350</v>
      </c>
      <c r="B8500" t="str">
        <f>T("   Bouchons, couvercles, capsules et autres dispositifs de fermeture, en matières plastiques")</f>
        <v xml:space="preserve">   Bouchons, couvercles, capsules et autres dispositifs de fermeture, en matières plastiques</v>
      </c>
      <c r="C8500">
        <v>119000</v>
      </c>
      <c r="D8500">
        <v>435</v>
      </c>
    </row>
    <row r="8501" spans="1:4" x14ac:dyDescent="0.25">
      <c r="A8501" t="str">
        <f>T("   392390")</f>
        <v xml:space="preserve">   392390</v>
      </c>
      <c r="B8501" t="s">
        <v>150</v>
      </c>
      <c r="C8501">
        <v>439825</v>
      </c>
      <c r="D8501">
        <v>4316</v>
      </c>
    </row>
    <row r="8502" spans="1:4" x14ac:dyDescent="0.25">
      <c r="A8502" t="str">
        <f>T("   392410")</f>
        <v xml:space="preserve">   392410</v>
      </c>
      <c r="B8502" t="str">
        <f>T("   Vaisselle et autres articles pour le service de la table ou de la cuisine, en matières plastiques")</f>
        <v xml:space="preserve">   Vaisselle et autres articles pour le service de la table ou de la cuisine, en matières plastiques</v>
      </c>
      <c r="C8502">
        <v>13200</v>
      </c>
      <c r="D8502">
        <v>88</v>
      </c>
    </row>
    <row r="8503" spans="1:4" x14ac:dyDescent="0.25">
      <c r="A8503" t="str">
        <f>T("   392490")</f>
        <v xml:space="preserve">   392490</v>
      </c>
      <c r="B8503" t="s">
        <v>151</v>
      </c>
      <c r="C8503">
        <v>10381900</v>
      </c>
      <c r="D8503">
        <v>35745</v>
      </c>
    </row>
    <row r="8504" spans="1:4" x14ac:dyDescent="0.25">
      <c r="A8504" t="str">
        <f>T("   392510")</f>
        <v xml:space="preserve">   392510</v>
      </c>
      <c r="B8504" t="str">
        <f>T("   Réservoirs, foudres, cuves et récipients analogues, en matières plastiques, d'une contenance &gt; 300 l")</f>
        <v xml:space="preserve">   Réservoirs, foudres, cuves et récipients analogues, en matières plastiques, d'une contenance &gt; 300 l</v>
      </c>
      <c r="C8504">
        <v>19965160</v>
      </c>
      <c r="D8504">
        <v>1318994</v>
      </c>
    </row>
    <row r="8505" spans="1:4" x14ac:dyDescent="0.25">
      <c r="A8505" t="str">
        <f>T("   392530")</f>
        <v xml:space="preserve">   392530</v>
      </c>
      <c r="B8505" t="str">
        <f>T("   Volets, stores, y.c. les stores vénitiens, et articles simil., et leurs parties, en matières plastiques (à l'excl. des accessoires et garnitures)")</f>
        <v xml:space="preserve">   Volets, stores, y.c. les stores vénitiens, et articles simil., et leurs parties, en matières plastiques (à l'excl. des accessoires et garnitures)</v>
      </c>
      <c r="C8505">
        <v>180000</v>
      </c>
      <c r="D8505">
        <v>500</v>
      </c>
    </row>
    <row r="8506" spans="1:4" x14ac:dyDescent="0.25">
      <c r="A8506" t="str">
        <f>T("   392590")</f>
        <v xml:space="preserve">   392590</v>
      </c>
      <c r="B8506" t="s">
        <v>152</v>
      </c>
      <c r="C8506">
        <v>1788843</v>
      </c>
      <c r="D8506">
        <v>6478</v>
      </c>
    </row>
    <row r="8507" spans="1:4" x14ac:dyDescent="0.25">
      <c r="A8507" t="str">
        <f>T("   392610")</f>
        <v xml:space="preserve">   392610</v>
      </c>
      <c r="B8507" t="str">
        <f>T("   Articles de bureau et articles scolaires, en matières plastiques, n.d.a.")</f>
        <v xml:space="preserve">   Articles de bureau et articles scolaires, en matières plastiques, n.d.a.</v>
      </c>
      <c r="C8507">
        <v>100000</v>
      </c>
      <c r="D8507">
        <v>200</v>
      </c>
    </row>
    <row r="8508" spans="1:4" x14ac:dyDescent="0.25">
      <c r="A8508" t="str">
        <f>T("   392620")</f>
        <v xml:space="preserve">   392620</v>
      </c>
      <c r="B8508" t="str">
        <f>T("   Vêtements et accessoires du vêtement, y.c. les gants, mitaines et moufles, fabriqués par couture ou collage à partir de feuilles en matières plastiques")</f>
        <v xml:space="preserve">   Vêtements et accessoires du vêtement, y.c. les gants, mitaines et moufles, fabriqués par couture ou collage à partir de feuilles en matières plastiques</v>
      </c>
      <c r="C8508">
        <v>25000</v>
      </c>
      <c r="D8508">
        <v>5</v>
      </c>
    </row>
    <row r="8509" spans="1:4" x14ac:dyDescent="0.25">
      <c r="A8509" t="str">
        <f>T("   392690")</f>
        <v xml:space="preserve">   392690</v>
      </c>
      <c r="B8509" t="str">
        <f>T("   Ouvrages en matières plastiques et ouvrages en autres matières du n° 3901 à 3914, n.d.a.")</f>
        <v xml:space="preserve">   Ouvrages en matières plastiques et ouvrages en autres matières du n° 3901 à 3914, n.d.a.</v>
      </c>
      <c r="C8509">
        <v>69518169</v>
      </c>
      <c r="D8509">
        <v>395133</v>
      </c>
    </row>
    <row r="8510" spans="1:4" x14ac:dyDescent="0.25">
      <c r="A8510" t="str">
        <f>T("   400821")</f>
        <v xml:space="preserve">   400821</v>
      </c>
      <c r="B8510" t="str">
        <f>T("   PLAQUES, FEUILLES ET BANDES, EN CAOUTCHOUC NON-ALVÉOLAIRE NON-DURCI")</f>
        <v xml:space="preserve">   PLAQUES, FEUILLES ET BANDES, EN CAOUTCHOUC NON-ALVÉOLAIRE NON-DURCI</v>
      </c>
      <c r="C8510">
        <v>6800</v>
      </c>
      <c r="D8510">
        <v>15</v>
      </c>
    </row>
    <row r="8511" spans="1:4" x14ac:dyDescent="0.25">
      <c r="A8511" t="str">
        <f>T("   401110")</f>
        <v xml:space="preserve">   401110</v>
      </c>
      <c r="B8511"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8511">
        <v>5729240</v>
      </c>
      <c r="D8511">
        <v>10958</v>
      </c>
    </row>
    <row r="8512" spans="1:4" x14ac:dyDescent="0.25">
      <c r="A8512" t="str">
        <f>T("   401120")</f>
        <v xml:space="preserve">   401120</v>
      </c>
      <c r="B8512"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8512">
        <v>36797500</v>
      </c>
      <c r="D8512">
        <v>77365</v>
      </c>
    </row>
    <row r="8513" spans="1:4" x14ac:dyDescent="0.25">
      <c r="A8513" t="str">
        <f>T("   401140")</f>
        <v xml:space="preserve">   401140</v>
      </c>
      <c r="B8513" t="str">
        <f>T("   Pneumatiques neufs, en caoutchouc, des types utilisés pour les motocycles")</f>
        <v xml:space="preserve">   Pneumatiques neufs, en caoutchouc, des types utilisés pour les motocycles</v>
      </c>
      <c r="C8513">
        <v>22696300</v>
      </c>
      <c r="D8513">
        <v>27236</v>
      </c>
    </row>
    <row r="8514" spans="1:4" x14ac:dyDescent="0.25">
      <c r="A8514" t="str">
        <f>T("   401150")</f>
        <v xml:space="preserve">   401150</v>
      </c>
      <c r="B8514" t="str">
        <f>T("   Pneumatiques neufs, en caoutchouc, des types utilisés pour les bicyclettes")</f>
        <v xml:space="preserve">   Pneumatiques neufs, en caoutchouc, des types utilisés pour les bicyclettes</v>
      </c>
      <c r="C8514">
        <v>681000</v>
      </c>
      <c r="D8514">
        <v>6260</v>
      </c>
    </row>
    <row r="8515" spans="1:4" x14ac:dyDescent="0.25">
      <c r="A8515" t="str">
        <f>T("   401191")</f>
        <v xml:space="preserve">   401191</v>
      </c>
      <c r="B8515" t="str">
        <f>T("   PNEUMATIQUES NEUFS, EN CAOUTCHOUC, A CRAMPONS, A CHEVRONS OU SIMILAIRES, DES TYPES UTILISÉS POUR LES TRACTEURS AGRICOLES OU FORESTIERS OU POUR LES VÉHICULES ET ENGINS DE GENIE CIVIL")</f>
        <v xml:space="preserve">   PNEUMATIQUES NEUFS, EN CAOUTCHOUC, A CRAMPONS, A CHEVRONS OU SIMILAIRES, DES TYPES UTILISÉS POUR LES TRACTEURS AGRICOLES OU FORESTIERS OU POUR LES VÉHICULES ET ENGINS DE GENIE CIVIL</v>
      </c>
      <c r="C8515">
        <v>100000</v>
      </c>
      <c r="D8515">
        <v>2000</v>
      </c>
    </row>
    <row r="8516" spans="1:4" x14ac:dyDescent="0.25">
      <c r="A8516" t="str">
        <f>T("   401210")</f>
        <v xml:space="preserve">   401210</v>
      </c>
      <c r="B8516" t="str">
        <f>T("   PNEUMATIQUES RECHAPES, EN CAOUTCHOUC")</f>
        <v xml:space="preserve">   PNEUMATIQUES RECHAPES, EN CAOUTCHOUC</v>
      </c>
      <c r="C8516">
        <v>2743200</v>
      </c>
      <c r="D8516">
        <v>3600</v>
      </c>
    </row>
    <row r="8517" spans="1:4" x14ac:dyDescent="0.25">
      <c r="A8517" t="str">
        <f>T("   401220")</f>
        <v xml:space="preserve">   401220</v>
      </c>
      <c r="B8517" t="str">
        <f>T("   Pneumatiques usagés, en caoutchouc")</f>
        <v xml:space="preserve">   Pneumatiques usagés, en caoutchouc</v>
      </c>
      <c r="C8517">
        <v>11631000</v>
      </c>
      <c r="D8517">
        <v>37720</v>
      </c>
    </row>
    <row r="8518" spans="1:4" x14ac:dyDescent="0.25">
      <c r="A8518" t="str">
        <f>T("   401310")</f>
        <v xml:space="preserve">   401310</v>
      </c>
      <c r="B8518" t="str">
        <f>T("   Chambres à air, en caoutchouc, des types utilisés pour les voitures de tourisme [y.c. les voitures du type 'break' et les voitures de course], les autobus ou les camions")</f>
        <v xml:space="preserve">   Chambres à air, en caoutchouc, des types utilisés pour les voitures de tourisme [y.c. les voitures du type 'break' et les voitures de course], les autobus ou les camions</v>
      </c>
      <c r="C8518">
        <v>2832800</v>
      </c>
      <c r="D8518">
        <v>7150</v>
      </c>
    </row>
    <row r="8519" spans="1:4" x14ac:dyDescent="0.25">
      <c r="A8519" t="str">
        <f>T("   401590")</f>
        <v xml:space="preserve">   401590</v>
      </c>
      <c r="B8519" t="str">
        <f>T("   Vêtements et accessoires du vêtement en caoutchouc vulcanisé non durci, pour tous usages (à l'excl. des gants, mitaines et moufles, des chaussures ou des coiffures ainsi que des parties de chaussures ou de coiffures)")</f>
        <v xml:space="preserve">   Vêtements et accessoires du vêtement en caoutchouc vulcanisé non durci, pour tous usages (à l'excl. des gants, mitaines et moufles, des chaussures ou des coiffures ainsi que des parties de chaussures ou de coiffures)</v>
      </c>
      <c r="C8519">
        <v>12600</v>
      </c>
      <c r="D8519">
        <v>63</v>
      </c>
    </row>
    <row r="8520" spans="1:4" x14ac:dyDescent="0.25">
      <c r="A8520" t="str">
        <f>T("   401699")</f>
        <v xml:space="preserve">   401699</v>
      </c>
      <c r="B8520" t="str">
        <f>T("   OUVRAGES EN CAOUTCHOUC VULCANISÉ NON-DURCI, N.D.A.")</f>
        <v xml:space="preserve">   OUVRAGES EN CAOUTCHOUC VULCANISÉ NON-DURCI, N.D.A.</v>
      </c>
      <c r="C8520">
        <v>5400</v>
      </c>
      <c r="D8520">
        <v>18</v>
      </c>
    </row>
    <row r="8521" spans="1:4" x14ac:dyDescent="0.25">
      <c r="A8521" t="str">
        <f>T("   410390")</f>
        <v xml:space="preserve">   410390</v>
      </c>
      <c r="B8521" t="s">
        <v>160</v>
      </c>
      <c r="C8521">
        <v>10500</v>
      </c>
      <c r="D8521">
        <v>10</v>
      </c>
    </row>
    <row r="8522" spans="1:4" x14ac:dyDescent="0.25">
      <c r="A8522" t="str">
        <f>T("   420211")</f>
        <v xml:space="preserve">   420211</v>
      </c>
      <c r="B8522" t="str">
        <f>T("   Malles, valises et mallettes, y.c. les mallettes de toilette et les mallettes porte-documents, serviettes, cartables et contenants simil., à surface extérieure en cuir naturel, en cuir reconstitué ou en cuir verni")</f>
        <v xml:space="preserve">   Malles, valises et mallettes, y.c. les mallettes de toilette et les mallettes porte-documents, serviettes, cartables et contenants simil., à surface extérieure en cuir naturel, en cuir reconstitué ou en cuir verni</v>
      </c>
      <c r="C8522">
        <v>68250</v>
      </c>
      <c r="D8522">
        <v>50</v>
      </c>
    </row>
    <row r="8523" spans="1:4" x14ac:dyDescent="0.25">
      <c r="A8523" t="str">
        <f>T("   420222")</f>
        <v xml:space="preserve">   420222</v>
      </c>
      <c r="B8523" t="str">
        <f>T("   Sacs à main, même à bandoulière, y.c. ceux sans poignée, à surface extérieure en feuilles de matières plastiques ou en matières textiles")</f>
        <v xml:space="preserve">   Sacs à main, même à bandoulière, y.c. ceux sans poignée, à surface extérieure en feuilles de matières plastiques ou en matières textiles</v>
      </c>
      <c r="C8523">
        <v>2186000</v>
      </c>
      <c r="D8523">
        <v>465</v>
      </c>
    </row>
    <row r="8524" spans="1:4" x14ac:dyDescent="0.25">
      <c r="A8524" t="str">
        <f>T("   420239")</f>
        <v xml:space="preserve">   420239</v>
      </c>
      <c r="B8524" t="s">
        <v>163</v>
      </c>
      <c r="C8524">
        <v>4000</v>
      </c>
      <c r="D8524">
        <v>20</v>
      </c>
    </row>
    <row r="8525" spans="1:4" x14ac:dyDescent="0.25">
      <c r="A8525" t="str">
        <f>T("   420292")</f>
        <v xml:space="preserve">   420292</v>
      </c>
      <c r="B8525" t="s">
        <v>164</v>
      </c>
      <c r="C8525">
        <v>60500</v>
      </c>
      <c r="D8525">
        <v>140</v>
      </c>
    </row>
    <row r="8526" spans="1:4" x14ac:dyDescent="0.25">
      <c r="A8526" t="str">
        <f>T("   420299")</f>
        <v xml:space="preserve">   420299</v>
      </c>
      <c r="B8526" t="s">
        <v>165</v>
      </c>
      <c r="C8526">
        <v>135000</v>
      </c>
      <c r="D8526">
        <v>50</v>
      </c>
    </row>
    <row r="8527" spans="1:4" x14ac:dyDescent="0.25">
      <c r="A8527" t="str">
        <f>T("   440729")</f>
        <v xml:space="preserve">   440729</v>
      </c>
      <c r="B8527" t="s">
        <v>170</v>
      </c>
      <c r="C8527">
        <v>13309920</v>
      </c>
      <c r="D8527">
        <v>607800</v>
      </c>
    </row>
    <row r="8528" spans="1:4" x14ac:dyDescent="0.25">
      <c r="A8528" t="str">
        <f>T("   441219")</f>
        <v xml:space="preserve">   441219</v>
      </c>
      <c r="B8528" t="s">
        <v>183</v>
      </c>
      <c r="C8528">
        <v>5550000</v>
      </c>
      <c r="D8528">
        <v>51250</v>
      </c>
    </row>
    <row r="8529" spans="1:4" x14ac:dyDescent="0.25">
      <c r="A8529" t="str">
        <f>T("   441229")</f>
        <v xml:space="preserve">   441229</v>
      </c>
      <c r="B8529" t="s">
        <v>185</v>
      </c>
      <c r="C8529">
        <v>520465</v>
      </c>
      <c r="D8529">
        <v>500</v>
      </c>
    </row>
    <row r="8530" spans="1:4" x14ac:dyDescent="0.25">
      <c r="A8530" t="str">
        <f>T("   441820")</f>
        <v xml:space="preserve">   441820</v>
      </c>
      <c r="B8530" t="str">
        <f>T("   Portes et leurs cadres, chambranles et seuils, en bois")</f>
        <v xml:space="preserve">   Portes et leurs cadres, chambranles et seuils, en bois</v>
      </c>
      <c r="C8530">
        <v>325000</v>
      </c>
      <c r="D8530">
        <v>200</v>
      </c>
    </row>
    <row r="8531" spans="1:4" x14ac:dyDescent="0.25">
      <c r="A8531" t="str">
        <f>T("   441900")</f>
        <v xml:space="preserve">   441900</v>
      </c>
      <c r="B8531" t="s">
        <v>189</v>
      </c>
      <c r="C8531">
        <v>90000</v>
      </c>
      <c r="D8531">
        <v>150</v>
      </c>
    </row>
    <row r="8532" spans="1:4" x14ac:dyDescent="0.25">
      <c r="A8532" t="str">
        <f>T("   442190")</f>
        <v xml:space="preserve">   442190</v>
      </c>
      <c r="B8532" t="str">
        <f>T("   Ouvrages, en bois, n.d.a.")</f>
        <v xml:space="preserve">   Ouvrages, en bois, n.d.a.</v>
      </c>
      <c r="C8532">
        <v>24600</v>
      </c>
      <c r="D8532">
        <v>1640</v>
      </c>
    </row>
    <row r="8533" spans="1:4" x14ac:dyDescent="0.25">
      <c r="A8533" t="str">
        <f>T("   460120")</f>
        <v xml:space="preserve">   460120</v>
      </c>
      <c r="B8533" t="str">
        <f>T("   Nattes, paillassons et claies en matières à tresser végétales, tissés ou parallélisés, à plat")</f>
        <v xml:space="preserve">   Nattes, paillassons et claies en matières à tresser végétales, tissés ou parallélisés, à plat</v>
      </c>
      <c r="C8533">
        <v>70000</v>
      </c>
      <c r="D8533">
        <v>350</v>
      </c>
    </row>
    <row r="8534" spans="1:4" x14ac:dyDescent="0.25">
      <c r="A8534" t="str">
        <f>T("   480100")</f>
        <v xml:space="preserve">   480100</v>
      </c>
      <c r="B8534" t="str">
        <f>T("   Papier journal, en rouleaux d'une largeur &gt; 36 cm ou en feuilles de forme carrée ou rectangulaire dont au moins un coté &gt; 36 cm et l'autre &gt; 15 cm à l'état non plié")</f>
        <v xml:space="preserve">   Papier journal, en rouleaux d'une largeur &gt; 36 cm ou en feuilles de forme carrée ou rectangulaire dont au moins un coté &gt; 36 cm et l'autre &gt; 15 cm à l'état non plié</v>
      </c>
      <c r="C8534">
        <v>7532432</v>
      </c>
      <c r="D8534">
        <v>7162</v>
      </c>
    </row>
    <row r="8535" spans="1:4" x14ac:dyDescent="0.25">
      <c r="A8535" t="str">
        <f>T("   480210")</f>
        <v xml:space="preserve">   480210</v>
      </c>
      <c r="B8535" t="str">
        <f>T("   Papiers et cartons formés feuille à feuille [papiers à la main], de tout format et de toute forme")</f>
        <v xml:space="preserve">   Papiers et cartons formés feuille à feuille [papiers à la main], de tout format et de toute forme</v>
      </c>
      <c r="C8535">
        <v>23606024</v>
      </c>
      <c r="D8535">
        <v>136519</v>
      </c>
    </row>
    <row r="8536" spans="1:4" x14ac:dyDescent="0.25">
      <c r="A8536" t="str">
        <f>T("   480220")</f>
        <v xml:space="preserve">   480220</v>
      </c>
      <c r="B8536" t="str">
        <f>T("   Papiers et cartons supports pour papiers ou cartons photosensibles, sensibles à la chaleur ou électrosensibles, non couchés ni enduits, en rouleaux ou en feuilles de forme carrée ou rectangulaire, de tout format")</f>
        <v xml:space="preserve">   Papiers et cartons supports pour papiers ou cartons photosensibles, sensibles à la chaleur ou électrosensibles, non couchés ni enduits, en rouleaux ou en feuilles de forme carrée ou rectangulaire, de tout format</v>
      </c>
      <c r="C8536">
        <v>7500</v>
      </c>
      <c r="D8536">
        <v>15</v>
      </c>
    </row>
    <row r="8537" spans="1:4" x14ac:dyDescent="0.25">
      <c r="A8537" t="str">
        <f>T("   480300")</f>
        <v xml:space="preserve">   480300</v>
      </c>
      <c r="B8537" t="s">
        <v>198</v>
      </c>
      <c r="C8537">
        <v>246000</v>
      </c>
      <c r="D8537">
        <v>410</v>
      </c>
    </row>
    <row r="8538" spans="1:4" x14ac:dyDescent="0.25">
      <c r="A8538" t="str">
        <f>T("   480700")</f>
        <v xml:space="preserve">   480700</v>
      </c>
      <c r="B8538" t="s">
        <v>203</v>
      </c>
      <c r="C8538">
        <v>8166200</v>
      </c>
      <c r="D8538">
        <v>17858</v>
      </c>
    </row>
    <row r="8539" spans="1:4" x14ac:dyDescent="0.25">
      <c r="A8539" t="str">
        <f>T("   481011")</f>
        <v xml:space="preserve">   481011</v>
      </c>
      <c r="B8539" t="s">
        <v>207</v>
      </c>
      <c r="C8539">
        <v>699600</v>
      </c>
      <c r="D8539">
        <v>1165</v>
      </c>
    </row>
    <row r="8540" spans="1:4" x14ac:dyDescent="0.25">
      <c r="A8540" t="str">
        <f>T("   481013")</f>
        <v xml:space="preserve">   481013</v>
      </c>
      <c r="B8540" t="s">
        <v>208</v>
      </c>
      <c r="C8540">
        <v>582000</v>
      </c>
      <c r="D8540">
        <v>980</v>
      </c>
    </row>
    <row r="8541" spans="1:4" x14ac:dyDescent="0.25">
      <c r="A8541" t="str">
        <f>T("   481014")</f>
        <v xml:space="preserve">   481014</v>
      </c>
      <c r="B8541" t="s">
        <v>208</v>
      </c>
      <c r="C8541">
        <v>4666700</v>
      </c>
      <c r="D8541">
        <v>24287</v>
      </c>
    </row>
    <row r="8542" spans="1:4" x14ac:dyDescent="0.25">
      <c r="A8542" t="str">
        <f>T("   481129")</f>
        <v xml:space="preserve">   481129</v>
      </c>
      <c r="B8542" t="str">
        <f>T("   PAPIERS ET CARTONS GOMMES OU ADHÉSIFS, EN ROULEAUX OU EN FEUILLES DES TYPES DEFINIS DANS LES NOTES 7A) OU 7B) DU PRESENT CHAPITRE (À L'EXCL. DES PAPIERS ET CARTONS AUTO-ADHÉSIFS AINSI QUE DES PRODUITS DU N° 4810)")</f>
        <v xml:space="preserve">   PAPIERS ET CARTONS GOMMES OU ADHÉSIFS, EN ROULEAUX OU EN FEUILLES DES TYPES DEFINIS DANS LES NOTES 7A) OU 7B) DU PRESENT CHAPITRE (À L'EXCL. DES PAPIERS ET CARTONS AUTO-ADHÉSIFS AINSI QUE DES PRODUITS DU N° 4810)</v>
      </c>
      <c r="C8542">
        <v>7557000</v>
      </c>
      <c r="D8542">
        <v>12135</v>
      </c>
    </row>
    <row r="8543" spans="1:4" x14ac:dyDescent="0.25">
      <c r="A8543" t="str">
        <f>T("   481141")</f>
        <v xml:space="preserve">   481141</v>
      </c>
      <c r="B8543" t="str">
        <f>T("   Papiers et cartons, auto-adhésifs, coloriés en surface, décorés en surface ou imprimés, en rouleaux ou en feuilles de forme carrée ou rectangulaire, de tout format (à l'excl. des produits du n° 4810)")</f>
        <v xml:space="preserve">   Papiers et cartons, auto-adhésifs, coloriés en surface, décorés en surface ou imprimés, en rouleaux ou en feuilles de forme carrée ou rectangulaire, de tout format (à l'excl. des produits du n° 4810)</v>
      </c>
      <c r="C8543">
        <v>523365</v>
      </c>
      <c r="D8543">
        <v>971</v>
      </c>
    </row>
    <row r="8544" spans="1:4" x14ac:dyDescent="0.25">
      <c r="A8544" t="str">
        <f>T("   481310")</f>
        <v xml:space="preserve">   481310</v>
      </c>
      <c r="B8544" t="str">
        <f>T("   Papier à cigarettes, en cahiers ou en tubes")</f>
        <v xml:space="preserve">   Papier à cigarettes, en cahiers ou en tubes</v>
      </c>
      <c r="C8544">
        <v>18000</v>
      </c>
      <c r="D8544">
        <v>20</v>
      </c>
    </row>
    <row r="8545" spans="1:4" x14ac:dyDescent="0.25">
      <c r="A8545" t="str">
        <f>T("   481690")</f>
        <v xml:space="preserve">   481690</v>
      </c>
      <c r="B8545" t="s">
        <v>215</v>
      </c>
      <c r="C8545">
        <v>15792237</v>
      </c>
      <c r="D8545">
        <v>3966</v>
      </c>
    </row>
    <row r="8546" spans="1:4" x14ac:dyDescent="0.25">
      <c r="A8546" t="str">
        <f>T("   481710")</f>
        <v xml:space="preserve">   481710</v>
      </c>
      <c r="B8546" t="str">
        <f>T("   Enveloppes, en papier ou en carton")</f>
        <v xml:space="preserve">   Enveloppes, en papier ou en carton</v>
      </c>
      <c r="C8546">
        <v>307954</v>
      </c>
      <c r="D8546">
        <v>410</v>
      </c>
    </row>
    <row r="8547" spans="1:4" x14ac:dyDescent="0.25">
      <c r="A8547" t="str">
        <f>T("   481730")</f>
        <v xml:space="preserve">   481730</v>
      </c>
      <c r="B8547" t="str">
        <f>T("   Boîtes, pochettes et présentations simil., en papier ou en carton, renfermant un assortiment d'articles de correspondance")</f>
        <v xml:space="preserve">   Boîtes, pochettes et présentations simil., en papier ou en carton, renfermant un assortiment d'articles de correspondance</v>
      </c>
      <c r="C8547">
        <v>32000</v>
      </c>
      <c r="D8547">
        <v>80</v>
      </c>
    </row>
    <row r="8548" spans="1:4" x14ac:dyDescent="0.25">
      <c r="A8548" t="str">
        <f>T("   481820")</f>
        <v xml:space="preserve">   481820</v>
      </c>
      <c r="B8548" t="str">
        <f>T("   Mouchoirs, serviettes à démaquiller et essuie-mains, en pâte à papier, papier, ouate de cellulose ou nappes de fibres de cellulose")</f>
        <v xml:space="preserve">   Mouchoirs, serviettes à démaquiller et essuie-mains, en pâte à papier, papier, ouate de cellulose ou nappes de fibres de cellulose</v>
      </c>
      <c r="C8548">
        <v>3871500</v>
      </c>
      <c r="D8548">
        <v>12280</v>
      </c>
    </row>
    <row r="8549" spans="1:4" x14ac:dyDescent="0.25">
      <c r="A8549" t="str">
        <f>T("   481840")</f>
        <v xml:space="preserve">   481840</v>
      </c>
      <c r="B8549"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8549">
        <v>96000</v>
      </c>
      <c r="D8549">
        <v>240</v>
      </c>
    </row>
    <row r="8550" spans="1:4" x14ac:dyDescent="0.25">
      <c r="A8550" t="str">
        <f>T("   481910")</f>
        <v xml:space="preserve">   481910</v>
      </c>
      <c r="B8550" t="str">
        <f>T("   Boîtes et caisses en papier ou en carton ondulé")</f>
        <v xml:space="preserve">   Boîtes et caisses en papier ou en carton ondulé</v>
      </c>
      <c r="C8550">
        <v>31344000</v>
      </c>
      <c r="D8550">
        <v>77540</v>
      </c>
    </row>
    <row r="8551" spans="1:4" x14ac:dyDescent="0.25">
      <c r="A8551" t="str">
        <f>T("   481940")</f>
        <v xml:space="preserve">   481940</v>
      </c>
      <c r="B8551" t="str">
        <f>T("   Sacs, sachets, pochettes et cornets, en papier, carton, ouate de cellulose ou nappes de fibres de cellulose (à l'excl. des pochettes pour disques et des sacs d'une largeur à la base &gt;= 40 cm)")</f>
        <v xml:space="preserve">   Sacs, sachets, pochettes et cornets, en papier, carton, ouate de cellulose ou nappes de fibres de cellulose (à l'excl. des pochettes pour disques et des sacs d'une largeur à la base &gt;= 40 cm)</v>
      </c>
      <c r="C8551">
        <v>16800</v>
      </c>
      <c r="D8551">
        <v>12</v>
      </c>
    </row>
    <row r="8552" spans="1:4" x14ac:dyDescent="0.25">
      <c r="A8552" t="str">
        <f>T("   482010")</f>
        <v xml:space="preserve">   482010</v>
      </c>
      <c r="B8552" t="str">
        <f>T("   Registres, livres comptables, carnets de notes, de commandes ou de quittances, blocs-mémorandums, blocs de papier à lettres, agendas et ouvrages simil., en papier ou carton")</f>
        <v xml:space="preserve">   Registres, livres comptables, carnets de notes, de commandes ou de quittances, blocs-mémorandums, blocs de papier à lettres, agendas et ouvrages simil., en papier ou carton</v>
      </c>
      <c r="C8552">
        <v>195979502</v>
      </c>
      <c r="D8552">
        <v>331721</v>
      </c>
    </row>
    <row r="8553" spans="1:4" x14ac:dyDescent="0.25">
      <c r="A8553" t="str">
        <f>T("   482020")</f>
        <v xml:space="preserve">   482020</v>
      </c>
      <c r="B8553" t="str">
        <f>T("   Cahiers pour l'écriture, en papier ou carton")</f>
        <v xml:space="preserve">   Cahiers pour l'écriture, en papier ou carton</v>
      </c>
      <c r="C8553">
        <v>73500</v>
      </c>
      <c r="D8553">
        <v>5100</v>
      </c>
    </row>
    <row r="8554" spans="1:4" x14ac:dyDescent="0.25">
      <c r="A8554" t="str">
        <f>T("   482030")</f>
        <v xml:space="preserve">   482030</v>
      </c>
      <c r="B8554" t="str">
        <f>T("   Classeurs, reliures (autres que les couvertures pour livres), chemises et couvertures à dossiers, en papier ou en carton")</f>
        <v xml:space="preserve">   Classeurs, reliures (autres que les couvertures pour livres), chemises et couvertures à dossiers, en papier ou en carton</v>
      </c>
      <c r="C8554">
        <v>1211200</v>
      </c>
      <c r="D8554">
        <v>2020</v>
      </c>
    </row>
    <row r="8555" spans="1:4" x14ac:dyDescent="0.25">
      <c r="A8555" t="str">
        <f>T("   482050")</f>
        <v xml:space="preserve">   482050</v>
      </c>
      <c r="B8555" t="str">
        <f>T("   Albums pour échantillonnages ou pour collections, en papier ou en carton")</f>
        <v xml:space="preserve">   Albums pour échantillonnages ou pour collections, en papier ou en carton</v>
      </c>
      <c r="C8555">
        <v>12000</v>
      </c>
      <c r="D8555">
        <v>50</v>
      </c>
    </row>
    <row r="8556" spans="1:4" x14ac:dyDescent="0.25">
      <c r="A8556" t="str">
        <f>T("   482090")</f>
        <v xml:space="preserve">   482090</v>
      </c>
      <c r="B8556" t="s">
        <v>219</v>
      </c>
      <c r="C8556">
        <v>285600</v>
      </c>
      <c r="D8556">
        <v>200</v>
      </c>
    </row>
    <row r="8557" spans="1:4" x14ac:dyDescent="0.25">
      <c r="A8557" t="str">
        <f>T("   482190")</f>
        <v xml:space="preserve">   482190</v>
      </c>
      <c r="B8557" t="str">
        <f>T("   ÉTIQUETTES DE TOUS GENRES, EN PAPIER OU EN CARTON, NON-IMPRIMÉES")</f>
        <v xml:space="preserve">   ÉTIQUETTES DE TOUS GENRES, EN PAPIER OU EN CARTON, NON-IMPRIMÉES</v>
      </c>
      <c r="C8557">
        <v>168480</v>
      </c>
      <c r="D8557">
        <v>2808</v>
      </c>
    </row>
    <row r="8558" spans="1:4" x14ac:dyDescent="0.25">
      <c r="A8558" t="str">
        <f>T("   482311")</f>
        <v xml:space="preserve">   482311</v>
      </c>
      <c r="B8558" t="str">
        <f>T("   PAPIER GOMME OU ADHESIF, EN BANDES OU EN ROULEAUX AUTO-ADHÉSIFS D'UNE LARGEUR =&lt; 15 CM")</f>
        <v xml:space="preserve">   PAPIER GOMME OU ADHESIF, EN BANDES OU EN ROULEAUX AUTO-ADHÉSIFS D'UNE LARGEUR =&lt; 15 CM</v>
      </c>
      <c r="C8558">
        <v>81900</v>
      </c>
      <c r="D8558">
        <v>140</v>
      </c>
    </row>
    <row r="8559" spans="1:4" x14ac:dyDescent="0.25">
      <c r="A8559" t="str">
        <f>T("   482312")</f>
        <v xml:space="preserve">   482312</v>
      </c>
      <c r="B8559" t="str">
        <f>T("   Papier auto-adhésif, en bandes ou en rouleaux d'une largeur &lt;= 36 cm (sauf colorié en surface, décoré en surface ou imprimé)")</f>
        <v xml:space="preserve">   Papier auto-adhésif, en bandes ou en rouleaux d'une largeur &lt;= 36 cm (sauf colorié en surface, décoré en surface ou imprimé)</v>
      </c>
      <c r="C8559">
        <v>183000</v>
      </c>
      <c r="D8559">
        <v>300</v>
      </c>
    </row>
    <row r="8560" spans="1:4" x14ac:dyDescent="0.25">
      <c r="A8560" t="str">
        <f>T("   490199")</f>
        <v xml:space="preserve">   490199</v>
      </c>
      <c r="B8560"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8560">
        <v>1842900</v>
      </c>
      <c r="D8560">
        <v>12980</v>
      </c>
    </row>
    <row r="8561" spans="1:4" x14ac:dyDescent="0.25">
      <c r="A8561" t="str">
        <f>T("   491000")</f>
        <v xml:space="preserve">   491000</v>
      </c>
      <c r="B8561" t="str">
        <f>T("   Calendriers de tous genres, imprimés, y.c. les blocs de calendriers à effeuiller")</f>
        <v xml:space="preserve">   Calendriers de tous genres, imprimés, y.c. les blocs de calendriers à effeuiller</v>
      </c>
      <c r="C8561">
        <v>3000</v>
      </c>
      <c r="D8561">
        <v>15</v>
      </c>
    </row>
    <row r="8562" spans="1:4" x14ac:dyDescent="0.25">
      <c r="A8562" t="str">
        <f>T("   491110")</f>
        <v xml:space="preserve">   491110</v>
      </c>
      <c r="B8562" t="str">
        <f>T("   Imprimés publicitaires, catalogues commerciaux et simil.")</f>
        <v xml:space="preserve">   Imprimés publicitaires, catalogues commerciaux et simil.</v>
      </c>
      <c r="C8562">
        <v>295845</v>
      </c>
      <c r="D8562">
        <v>1793</v>
      </c>
    </row>
    <row r="8563" spans="1:4" x14ac:dyDescent="0.25">
      <c r="A8563" t="str">
        <f>T("   491199")</f>
        <v xml:space="preserve">   491199</v>
      </c>
      <c r="B8563" t="str">
        <f>T("   Imprimés, n.d.a.")</f>
        <v xml:space="preserve">   Imprimés, n.d.a.</v>
      </c>
      <c r="C8563">
        <v>32581440</v>
      </c>
      <c r="D8563">
        <v>5110</v>
      </c>
    </row>
    <row r="8564" spans="1:4" x14ac:dyDescent="0.25">
      <c r="A8564" t="str">
        <f>T("   510910")</f>
        <v xml:space="preserve">   510910</v>
      </c>
      <c r="B8564" t="str">
        <f>T("   Fils de laine ou de poils fins, contenant &gt;= 85% en poids de laine ou de poils fins, conditionnés pour la vente au détail")</f>
        <v xml:space="preserve">   Fils de laine ou de poils fins, contenant &gt;= 85% en poids de laine ou de poils fins, conditionnés pour la vente au détail</v>
      </c>
      <c r="C8564">
        <v>122400</v>
      </c>
      <c r="D8564">
        <v>68</v>
      </c>
    </row>
    <row r="8565" spans="1:4" x14ac:dyDescent="0.25">
      <c r="A8565" t="str">
        <f>T("   520100")</f>
        <v xml:space="preserve">   520100</v>
      </c>
      <c r="B8565" t="str">
        <f>T("   COTON, NON-CARDÉ NI PEIGNÉ")</f>
        <v xml:space="preserve">   COTON, NON-CARDÉ NI PEIGNÉ</v>
      </c>
      <c r="C8565">
        <v>41225538</v>
      </c>
      <c r="D8565">
        <v>60000</v>
      </c>
    </row>
    <row r="8566" spans="1:4" x14ac:dyDescent="0.25">
      <c r="A8566" t="str">
        <f>T("   520299")</f>
        <v xml:space="preserve">   520299</v>
      </c>
      <c r="B8566" t="str">
        <f>T("   Déchets de coton (à l'excl. des déchets de fils et des effilochés)")</f>
        <v xml:space="preserve">   Déchets de coton (à l'excl. des déchets de fils et des effilochés)</v>
      </c>
      <c r="C8566">
        <v>78500</v>
      </c>
      <c r="D8566">
        <v>73</v>
      </c>
    </row>
    <row r="8567" spans="1:4" x14ac:dyDescent="0.25">
      <c r="A8567" t="str">
        <f>T("   520300")</f>
        <v xml:space="preserve">   520300</v>
      </c>
      <c r="B8567" t="str">
        <f>T("   Coton, cardé ou peigné")</f>
        <v xml:space="preserve">   Coton, cardé ou peigné</v>
      </c>
      <c r="C8567">
        <v>40000</v>
      </c>
      <c r="D8567">
        <v>160</v>
      </c>
    </row>
    <row r="8568" spans="1:4" x14ac:dyDescent="0.25">
      <c r="A8568" t="str">
        <f>T("   520420")</f>
        <v xml:space="preserve">   520420</v>
      </c>
      <c r="B8568" t="str">
        <f>T("   Fils à coudre de coton, conditionnés pour la vente au détail")</f>
        <v xml:space="preserve">   Fils à coudre de coton, conditionnés pour la vente au détail</v>
      </c>
      <c r="C8568">
        <v>265200</v>
      </c>
      <c r="D8568">
        <v>221</v>
      </c>
    </row>
    <row r="8569" spans="1:4" x14ac:dyDescent="0.25">
      <c r="A8569" t="str">
        <f>T("   520710")</f>
        <v xml:space="preserve">   520710</v>
      </c>
      <c r="B8569" t="str">
        <f>T("   Fils de coton, contenant &gt;= 85% en poids de coton, conditionnés pour la vente au détail (sauf les fils à coudre)")</f>
        <v xml:space="preserve">   Fils de coton, contenant &gt;= 85% en poids de coton, conditionnés pour la vente au détail (sauf les fils à coudre)</v>
      </c>
      <c r="C8569">
        <v>212500</v>
      </c>
      <c r="D8569">
        <v>295</v>
      </c>
    </row>
    <row r="8570" spans="1:4" x14ac:dyDescent="0.25">
      <c r="A8570" t="str">
        <f>T("   520790")</f>
        <v xml:space="preserve">   520790</v>
      </c>
      <c r="B8570" t="str">
        <f>T("   Fils de coton, contenant en prédominance, mais &lt; 85% en poids de coton, conditionnés pour la vente au détail (sauf les fils à coudre)")</f>
        <v xml:space="preserve">   Fils de coton, contenant en prédominance, mais &lt; 85% en poids de coton, conditionnés pour la vente au détail (sauf les fils à coudre)</v>
      </c>
      <c r="C8570">
        <v>117250</v>
      </c>
      <c r="D8570">
        <v>260</v>
      </c>
    </row>
    <row r="8571" spans="1:4" x14ac:dyDescent="0.25">
      <c r="A8571" t="str">
        <f>T("   520839")</f>
        <v xml:space="preserve">   520839</v>
      </c>
      <c r="B8571" t="str">
        <f>T("   Tissus de coton, teints, contenant &gt;= 85% en poids de coton, d'un poids &lt;= 200 g/m² (à l'excl. des tissus à armure toile ou à armure sergé [y.c. le croisé] d'un rapport d'armure &lt;= 4)")</f>
        <v xml:space="preserve">   Tissus de coton, teints, contenant &gt;= 85% en poids de coton, d'un poids &lt;= 200 g/m² (à l'excl. des tissus à armure toile ou à armure sergé [y.c. le croisé] d'un rapport d'armure &lt;= 4)</v>
      </c>
      <c r="C8571">
        <v>12079620</v>
      </c>
      <c r="D8571">
        <v>18614</v>
      </c>
    </row>
    <row r="8572" spans="1:4" x14ac:dyDescent="0.25">
      <c r="A8572" t="str">
        <f>T("   520852")</f>
        <v xml:space="preserve">   520852</v>
      </c>
      <c r="B8572" t="str">
        <f>T("   Tissus de coton, imprimés, à armure toile, contenant &gt;= 85% en poids de coton, d'un poids &gt; 100 g/m² mais &lt;= 200 g/m²")</f>
        <v xml:space="preserve">   Tissus de coton, imprimés, à armure toile, contenant &gt;= 85% en poids de coton, d'un poids &gt; 100 g/m² mais &lt;= 200 g/m²</v>
      </c>
      <c r="C8572">
        <v>119935715</v>
      </c>
      <c r="D8572">
        <v>21410</v>
      </c>
    </row>
    <row r="8573" spans="1:4" x14ac:dyDescent="0.25">
      <c r="A8573" t="str">
        <f>T("   520949")</f>
        <v xml:space="preserve">   520949</v>
      </c>
      <c r="B8573" t="str">
        <f>T("   Tissus de coton, en fils de diverses couleurs, contenant &gt;= 85% en poids de coton, d'un poids &gt; 200 g/m² (à l'excl. des tissus dits 'denim' ainsi que des tissus à armure toile ou à armure sergé [y.c. le croisé] d'un rapport d'armure &lt;= 4)")</f>
        <v xml:space="preserve">   Tissus de coton, en fils de diverses couleurs, contenant &gt;= 85% en poids de coton, d'un poids &gt; 200 g/m² (à l'excl. des tissus dits 'denim' ainsi que des tissus à armure toile ou à armure sergé [y.c. le croisé] d'un rapport d'armure &lt;= 4)</v>
      </c>
      <c r="C8573">
        <v>970000</v>
      </c>
      <c r="D8573">
        <v>270</v>
      </c>
    </row>
    <row r="8574" spans="1:4" x14ac:dyDescent="0.25">
      <c r="A8574" t="str">
        <f>T("   520951")</f>
        <v xml:space="preserve">   520951</v>
      </c>
      <c r="B8574" t="str">
        <f>T("   Tissus de coton, imprimés, à armure toile, contenant &gt;= 85% en poids de coton, d'un poids &gt; 200 g/m²")</f>
        <v xml:space="preserve">   Tissus de coton, imprimés, à armure toile, contenant &gt;= 85% en poids de coton, d'un poids &gt; 200 g/m²</v>
      </c>
      <c r="C8574">
        <v>828000</v>
      </c>
      <c r="D8574">
        <v>200</v>
      </c>
    </row>
    <row r="8575" spans="1:4" x14ac:dyDescent="0.25">
      <c r="A8575" t="str">
        <f>T("   521211")</f>
        <v xml:space="preserve">   521211</v>
      </c>
      <c r="B8575" t="str">
        <f>T("   Tissus de coton, écrus, contenant en prédominance, mais &lt; 85% en poids de coton, autres que mélangés principalement ou uniquement avec des fibres synthétiques ou artificielles, d'un poids &lt;= 200 g/m²")</f>
        <v xml:space="preserve">   Tissus de coton, écrus, contenant en prédominance, mais &lt; 85% en poids de coton, autres que mélangés principalement ou uniquement avec des fibres synthétiques ou artificielles, d'un poids &lt;= 200 g/m²</v>
      </c>
      <c r="C8575">
        <v>95000</v>
      </c>
      <c r="D8575">
        <v>350</v>
      </c>
    </row>
    <row r="8576" spans="1:4" x14ac:dyDescent="0.25">
      <c r="A8576" t="str">
        <f>T("   521214")</f>
        <v xml:space="preserve">   521214</v>
      </c>
      <c r="B8576" t="str">
        <f>T("   Tissus de coton, en fils de diverses couleurs, contenant en prédominance, mais &lt; 85% en poids de coton, autres que mélangés principalement ou uniquement avec des fibres synthétiques ou artificielles, d'un poids &lt;= 200 g/m²")</f>
        <v xml:space="preserve">   Tissus de coton, en fils de diverses couleurs, contenant en prédominance, mais &lt; 85% en poids de coton, autres que mélangés principalement ou uniquement avec des fibres synthétiques ou artificielles, d'un poids &lt;= 200 g/m²</v>
      </c>
      <c r="C8576">
        <v>1108200</v>
      </c>
      <c r="D8576">
        <v>863</v>
      </c>
    </row>
    <row r="8577" spans="1:4" x14ac:dyDescent="0.25">
      <c r="A8577" t="str">
        <f>T("   521215")</f>
        <v xml:space="preserve">   521215</v>
      </c>
      <c r="B8577" t="str">
        <f>T("   Tissus de coton, imprimés, contenant en prédominance, mais &lt; 85% en poids de coton, autres que mélangés principalement ou uniquement avec des fibres synthétiques ou artificielles, d'un poids &lt;= 200 g/m²")</f>
        <v xml:space="preserve">   Tissus de coton, imprimés, contenant en prédominance, mais &lt; 85% en poids de coton, autres que mélangés principalement ou uniquement avec des fibres synthétiques ou artificielles, d'un poids &lt;= 200 g/m²</v>
      </c>
      <c r="C8577">
        <v>1065769</v>
      </c>
      <c r="D8577">
        <v>1310</v>
      </c>
    </row>
    <row r="8578" spans="1:4" x14ac:dyDescent="0.25">
      <c r="A8578" t="str">
        <f>T("   521221")</f>
        <v xml:space="preserve">   521221</v>
      </c>
      <c r="B8578" t="str">
        <f>T("   Tissus de coton, écrus, contenant en prédominance, mais &lt; 85% en poids de coton, autres que mélangés principalement ou uniquement avec des fibres synthétiques ou artificielles, d'un poids &gt; 200 g/m²")</f>
        <v xml:space="preserve">   Tissus de coton, écrus, contenant en prédominance, mais &lt; 85% en poids de coton, autres que mélangés principalement ou uniquement avec des fibres synthétiques ou artificielles, d'un poids &gt; 200 g/m²</v>
      </c>
      <c r="C8578">
        <v>34000</v>
      </c>
      <c r="D8578">
        <v>170</v>
      </c>
    </row>
    <row r="8579" spans="1:4" x14ac:dyDescent="0.25">
      <c r="A8579" t="str">
        <f>T("   530129")</f>
        <v xml:space="preserve">   530129</v>
      </c>
      <c r="B8579" t="str">
        <f>T("   Lin peigné ou autrement travaillé, mais non filé (à l'excl. du lin brisé, teillé ou roui)")</f>
        <v xml:space="preserve">   Lin peigné ou autrement travaillé, mais non filé (à l'excl. du lin brisé, teillé ou roui)</v>
      </c>
      <c r="C8579">
        <v>15000</v>
      </c>
      <c r="D8579">
        <v>60</v>
      </c>
    </row>
    <row r="8580" spans="1:4" x14ac:dyDescent="0.25">
      <c r="A8580" t="str">
        <f>T("   530390")</f>
        <v xml:space="preserve">   530390</v>
      </c>
      <c r="B8580" t="str">
        <f>T("   Jute et autres fibres textiles libériennes, travaillés mais non filés (à l'excl. des produits rouis ainsi que du lin, du chanvre et de la ramie); étoupes et déchets de ces fibres, y.c. les déchets de fils et les effilochés")</f>
        <v xml:space="preserve">   Jute et autres fibres textiles libériennes, travaillés mais non filés (à l'excl. des produits rouis ainsi que du lin, du chanvre et de la ramie); étoupes et déchets de ces fibres, y.c. les déchets de fils et les effilochés</v>
      </c>
      <c r="C8580">
        <v>4200</v>
      </c>
      <c r="D8580">
        <v>10</v>
      </c>
    </row>
    <row r="8581" spans="1:4" x14ac:dyDescent="0.25">
      <c r="A8581" t="str">
        <f>T("   540620")</f>
        <v xml:space="preserve">   540620</v>
      </c>
      <c r="B8581" t="str">
        <f>T("   Fils de filaments artificiels, conditionnés pour la vente au détail (à l'excl. des fils à coudre)")</f>
        <v xml:space="preserve">   Fils de filaments artificiels, conditionnés pour la vente au détail (à l'excl. des fils à coudre)</v>
      </c>
      <c r="C8581">
        <v>289710</v>
      </c>
      <c r="D8581">
        <v>745</v>
      </c>
    </row>
    <row r="8582" spans="1:4" x14ac:dyDescent="0.25">
      <c r="A8582" t="str">
        <f>T("   550110")</f>
        <v xml:space="preserve">   550110</v>
      </c>
      <c r="B8582" t="str">
        <f>T("   Câbles de filaments de nylon ou d'autres polyamides, tels que définis dans la note 1 du présent chapitre")</f>
        <v xml:space="preserve">   Câbles de filaments de nylon ou d'autres polyamides, tels que définis dans la note 1 du présent chapitre</v>
      </c>
      <c r="C8582">
        <v>10800</v>
      </c>
      <c r="D8582">
        <v>54</v>
      </c>
    </row>
    <row r="8583" spans="1:4" x14ac:dyDescent="0.25">
      <c r="A8583" t="str">
        <f>T("   551219")</f>
        <v xml:space="preserve">   551219</v>
      </c>
      <c r="B8583" t="str">
        <f>T("   Tissus, teints, imprimés ou en fils de diverses couleurs, de fibres discontinues de polyester, contenant &gt;= 85% en poids de ces fibres")</f>
        <v xml:space="preserve">   Tissus, teints, imprimés ou en fils de diverses couleurs, de fibres discontinues de polyester, contenant &gt;= 85% en poids de ces fibres</v>
      </c>
      <c r="C8583">
        <v>486300</v>
      </c>
      <c r="D8583">
        <v>88</v>
      </c>
    </row>
    <row r="8584" spans="1:4" x14ac:dyDescent="0.25">
      <c r="A8584" t="str">
        <f>T("   551413")</f>
        <v xml:space="preserve">   551413</v>
      </c>
      <c r="B8584" t="s">
        <v>236</v>
      </c>
      <c r="C8584">
        <v>13600</v>
      </c>
      <c r="D8584">
        <v>68</v>
      </c>
    </row>
    <row r="8585" spans="1:4" x14ac:dyDescent="0.25">
      <c r="A8585" t="str">
        <f>T("   551443")</f>
        <v xml:space="preserve">   551443</v>
      </c>
      <c r="B8585" t="s">
        <v>238</v>
      </c>
      <c r="C8585">
        <v>6858660</v>
      </c>
      <c r="D8585">
        <v>33136</v>
      </c>
    </row>
    <row r="8586" spans="1:4" x14ac:dyDescent="0.25">
      <c r="A8586" t="str">
        <f>T("   551591")</f>
        <v xml:space="preserve">   551591</v>
      </c>
      <c r="B8586" t="s">
        <v>241</v>
      </c>
      <c r="C8586">
        <v>215000</v>
      </c>
      <c r="D8586">
        <v>430</v>
      </c>
    </row>
    <row r="8587" spans="1:4" x14ac:dyDescent="0.25">
      <c r="A8587" t="str">
        <f>T("   551599")</f>
        <v xml:space="preserve">   551599</v>
      </c>
      <c r="B8587" t="s">
        <v>243</v>
      </c>
      <c r="C8587">
        <v>1142446</v>
      </c>
      <c r="D8587">
        <v>3083</v>
      </c>
    </row>
    <row r="8588" spans="1:4" x14ac:dyDescent="0.25">
      <c r="A8588" t="str">
        <f>T("   560490")</f>
        <v xml:space="preserve">   560490</v>
      </c>
      <c r="B8588" t="str">
        <f>T("   FILS TEXTILES, LAMES ET FORMES SIMIL. DU N° 5404 OU 5405, IMPRÉGNÉS, ENDUITS, RECOUVERTS OU GAINÉS DE CAOUTCHOUC OU DE MATIÈRE PLASTIQUE (À L'EXCL. DES IMITATIONS DE CATGUT MUNIES D'HAMEÇONS OU AUTREMENT MONTÉES EN LIGNES)")</f>
        <v xml:space="preserve">   FILS TEXTILES, LAMES ET FORMES SIMIL. DU N° 5404 OU 5405, IMPRÉGNÉS, ENDUITS, RECOUVERTS OU GAINÉS DE CAOUTCHOUC OU DE MATIÈRE PLASTIQUE (À L'EXCL. DES IMITATIONS DE CATGUT MUNIES D'HAMEÇONS OU AUTREMENT MONTÉES EN LIGNES)</v>
      </c>
      <c r="C8588">
        <v>1726122</v>
      </c>
      <c r="D8588">
        <v>4696</v>
      </c>
    </row>
    <row r="8589" spans="1:4" x14ac:dyDescent="0.25">
      <c r="A8589" t="str">
        <f>T("   560811")</f>
        <v xml:space="preserve">   560811</v>
      </c>
      <c r="B8589" t="str">
        <f>T("   Filets confectionnés pour la pêche, à mailles nouées, en matières textiles synthétiques ou artificielles (à l'excl. des épuisettes)")</f>
        <v xml:space="preserve">   Filets confectionnés pour la pêche, à mailles nouées, en matières textiles synthétiques ou artificielles (à l'excl. des épuisettes)</v>
      </c>
      <c r="C8589">
        <v>413941</v>
      </c>
      <c r="D8589">
        <v>320</v>
      </c>
    </row>
    <row r="8590" spans="1:4" x14ac:dyDescent="0.25">
      <c r="A8590" t="str">
        <f>T("   560890")</f>
        <v xml:space="preserve">   560890</v>
      </c>
      <c r="B8590" t="s">
        <v>247</v>
      </c>
      <c r="C8590">
        <v>552318</v>
      </c>
      <c r="D8590">
        <v>205</v>
      </c>
    </row>
    <row r="8591" spans="1:4" x14ac:dyDescent="0.25">
      <c r="A8591" t="str">
        <f>T("   570390")</f>
        <v xml:space="preserve">   570390</v>
      </c>
      <c r="B8591" t="str">
        <f>T("   Tapis et autres revêtements de sol, de matières textiles végétales ou de poils grossiers, touffetés, même confectionnés")</f>
        <v xml:space="preserve">   Tapis et autres revêtements de sol, de matières textiles végétales ou de poils grossiers, touffetés, même confectionnés</v>
      </c>
      <c r="C8591">
        <v>493706</v>
      </c>
      <c r="D8591">
        <v>420</v>
      </c>
    </row>
    <row r="8592" spans="1:4" x14ac:dyDescent="0.25">
      <c r="A8592" t="str">
        <f>T("   570500")</f>
        <v xml:space="preserve">   570500</v>
      </c>
      <c r="B8592" t="str">
        <f>T("   Tapis et autres revêtements de sol en matières textiles, même confectionnés (à l'excl. à points noués ou enroulés, tissés, touffetés ou en feutre)")</f>
        <v xml:space="preserve">   Tapis et autres revêtements de sol en matières textiles, même confectionnés (à l'excl. à points noués ou enroulés, tissés, touffetés ou en feutre)</v>
      </c>
      <c r="C8592">
        <v>1226496</v>
      </c>
      <c r="D8592">
        <v>1200</v>
      </c>
    </row>
    <row r="8593" spans="1:4" x14ac:dyDescent="0.25">
      <c r="A8593" t="str">
        <f>T("   580500")</f>
        <v xml:space="preserve">   580500</v>
      </c>
      <c r="B8593" t="s">
        <v>253</v>
      </c>
      <c r="C8593">
        <v>204000</v>
      </c>
      <c r="D8593">
        <v>130</v>
      </c>
    </row>
    <row r="8594" spans="1:4" x14ac:dyDescent="0.25">
      <c r="A8594" t="str">
        <f>T("   580620")</f>
        <v xml:space="preserve">   580620</v>
      </c>
      <c r="B8594" t="s">
        <v>254</v>
      </c>
      <c r="C8594">
        <v>139650</v>
      </c>
      <c r="D8594">
        <v>95</v>
      </c>
    </row>
    <row r="8595" spans="1:4" x14ac:dyDescent="0.25">
      <c r="A8595" t="str">
        <f>T("   590190")</f>
        <v xml:space="preserve">   590190</v>
      </c>
      <c r="B8595" t="str">
        <f>T("   Toiles à calquer ou transparentes pour le dessin; toiles préparées pour la peinture; bougran et tissus simil. raidis des types utilisés pour la chapellerie (à l'excl. des tissus enduits de matière plastique)")</f>
        <v xml:space="preserve">   Toiles à calquer ou transparentes pour le dessin; toiles préparées pour la peinture; bougran et tissus simil. raidis des types utilisés pour la chapellerie (à l'excl. des tissus enduits de matière plastique)</v>
      </c>
      <c r="C8595">
        <v>55001299</v>
      </c>
      <c r="D8595">
        <v>66619</v>
      </c>
    </row>
    <row r="8596" spans="1:4" x14ac:dyDescent="0.25">
      <c r="A8596" t="str">
        <f>T("   610910")</f>
        <v xml:space="preserve">   610910</v>
      </c>
      <c r="B8596" t="str">
        <f>T("   T-shirts et maillots de corps, en bonneterie, de coton,")</f>
        <v xml:space="preserve">   T-shirts et maillots de corps, en bonneterie, de coton,</v>
      </c>
      <c r="C8596">
        <v>1140600</v>
      </c>
      <c r="D8596">
        <v>1911</v>
      </c>
    </row>
    <row r="8597" spans="1:4" x14ac:dyDescent="0.25">
      <c r="A8597" t="str">
        <f>T("   620319")</f>
        <v xml:space="preserve">   620319</v>
      </c>
      <c r="B8597" t="s">
        <v>265</v>
      </c>
      <c r="C8597">
        <v>325000</v>
      </c>
      <c r="D8597">
        <v>348</v>
      </c>
    </row>
    <row r="8598" spans="1:4" x14ac:dyDescent="0.25">
      <c r="A8598" t="str">
        <f>T("   620429")</f>
        <v xml:space="preserve">   620429</v>
      </c>
      <c r="B8598" t="str">
        <f>T("   Ensembles de matières textiles, pour femmes ou fillettes (autres que laine, poils fins, coton ou fibres synthétiques, autres qu'en bonneterie et sauf, ensembles de ski et vêtements de bain)")</f>
        <v xml:space="preserve">   Ensembles de matières textiles, pour femmes ou fillettes (autres que laine, poils fins, coton ou fibres synthétiques, autres qu'en bonneterie et sauf, ensembles de ski et vêtements de bain)</v>
      </c>
      <c r="C8598">
        <v>184500</v>
      </c>
      <c r="D8598">
        <v>193</v>
      </c>
    </row>
    <row r="8599" spans="1:4" x14ac:dyDescent="0.25">
      <c r="A8599" t="str">
        <f>T("   620469")</f>
        <v xml:space="preserve">   620469</v>
      </c>
      <c r="B8599" t="s">
        <v>267</v>
      </c>
      <c r="C8599">
        <v>52500</v>
      </c>
      <c r="D8599">
        <v>35</v>
      </c>
    </row>
    <row r="8600" spans="1:4" x14ac:dyDescent="0.25">
      <c r="A8600" t="str">
        <f>T("   620590")</f>
        <v xml:space="preserve">   620590</v>
      </c>
      <c r="B8600"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8600">
        <v>49500</v>
      </c>
      <c r="D8600">
        <v>11</v>
      </c>
    </row>
    <row r="8601" spans="1:4" x14ac:dyDescent="0.25">
      <c r="A8601" t="str">
        <f>T("   621430")</f>
        <v xml:space="preserve">   621430</v>
      </c>
      <c r="B8601" t="str">
        <f>T("   Châles, écharpes, foulards, cache-nez, cache-col, mantilles, voiles et voilettes et articles simil., de fibres synthétiques (autres qu'en bonneterie)")</f>
        <v xml:space="preserve">   Châles, écharpes, foulards, cache-nez, cache-col, mantilles, voiles et voilettes et articles simil., de fibres synthétiques (autres qu'en bonneterie)</v>
      </c>
      <c r="C8601">
        <v>335000</v>
      </c>
      <c r="D8601">
        <v>45</v>
      </c>
    </row>
    <row r="8602" spans="1:4" x14ac:dyDescent="0.25">
      <c r="A8602" t="str">
        <f>T("   621590")</f>
        <v xml:space="preserve">   621590</v>
      </c>
      <c r="B8602" t="str">
        <f>T("   Cravates, noeuds papillons et foulards cravates, de matières textiles (autres que fibres synthétiques ou artificielles, soie et déchets de soie et autres qu'en bonneterie)")</f>
        <v xml:space="preserve">   Cravates, noeuds papillons et foulards cravates, de matières textiles (autres que fibres synthétiques ou artificielles, soie et déchets de soie et autres qu'en bonneterie)</v>
      </c>
      <c r="C8602">
        <v>30000</v>
      </c>
      <c r="D8602">
        <v>20</v>
      </c>
    </row>
    <row r="8603" spans="1:4" x14ac:dyDescent="0.25">
      <c r="A8603" t="str">
        <f>T("   621600")</f>
        <v xml:space="preserve">   621600</v>
      </c>
      <c r="B8603" t="str">
        <f>T("   Gants, mitaines et moufles, en tous types de matières textiles (autres qu'en bonneterie et sauf gants pour bébés)")</f>
        <v xml:space="preserve">   Gants, mitaines et moufles, en tous types de matières textiles (autres qu'en bonneterie et sauf gants pour bébés)</v>
      </c>
      <c r="C8603">
        <v>9000</v>
      </c>
      <c r="D8603">
        <v>15</v>
      </c>
    </row>
    <row r="8604" spans="1:4" x14ac:dyDescent="0.25">
      <c r="A8604" t="str">
        <f>T("   630260")</f>
        <v xml:space="preserve">   630260</v>
      </c>
      <c r="B8604" t="str">
        <f>T("   Linge de toilette ou de cuisine, bouclé du genre éponge, de coton (sauf serpillières, chiffons à parquet, lavettes et chamoisettes)")</f>
        <v xml:space="preserve">   Linge de toilette ou de cuisine, bouclé du genre éponge, de coton (sauf serpillières, chiffons à parquet, lavettes et chamoisettes)</v>
      </c>
      <c r="C8604">
        <v>290500</v>
      </c>
      <c r="D8604">
        <v>440</v>
      </c>
    </row>
    <row r="8605" spans="1:4" x14ac:dyDescent="0.25">
      <c r="A8605" t="str">
        <f>T("   630319")</f>
        <v xml:space="preserve">   630319</v>
      </c>
      <c r="B8605" t="str">
        <f>T("   Vitrages, rideaux et stores d'intérieur ainsi que cantonnières et tours de lit, en bonneterie (autres que de coton et fibres synthétiques et autres que stores d'extérieur)")</f>
        <v xml:space="preserve">   Vitrages, rideaux et stores d'intérieur ainsi que cantonnières et tours de lit, en bonneterie (autres que de coton et fibres synthétiques et autres que stores d'extérieur)</v>
      </c>
      <c r="C8605">
        <v>13200</v>
      </c>
      <c r="D8605">
        <v>22</v>
      </c>
    </row>
    <row r="8606" spans="1:4" x14ac:dyDescent="0.25">
      <c r="A8606" t="str">
        <f>T("   630419")</f>
        <v xml:space="preserve">   630419</v>
      </c>
      <c r="B8606" t="str">
        <f>T("   Couvre-lits en tous types de matières textiles (autres qu'en bonneterie et sauf linge de lit, couvre-pieds et édredons)")</f>
        <v xml:space="preserve">   Couvre-lits en tous types de matières textiles (autres qu'en bonneterie et sauf linge de lit, couvre-pieds et édredons)</v>
      </c>
      <c r="C8606">
        <v>787813</v>
      </c>
      <c r="D8606">
        <v>305</v>
      </c>
    </row>
    <row r="8607" spans="1:4" x14ac:dyDescent="0.25">
      <c r="A8607" t="str">
        <f>T("   630491")</f>
        <v xml:space="preserve">   630491</v>
      </c>
      <c r="B8607" t="s">
        <v>275</v>
      </c>
      <c r="C8607">
        <v>304625</v>
      </c>
      <c r="D8607">
        <v>80</v>
      </c>
    </row>
    <row r="8608" spans="1:4" x14ac:dyDescent="0.25">
      <c r="A8608" t="str">
        <f>T("   630510")</f>
        <v xml:space="preserve">   630510</v>
      </c>
      <c r="B8608" t="str">
        <f>T("   Sacs et sachets d'emballage de jute ou d'autres fibres textiles libériennes du n° 5303")</f>
        <v xml:space="preserve">   Sacs et sachets d'emballage de jute ou d'autres fibres textiles libériennes du n° 5303</v>
      </c>
      <c r="C8608">
        <v>3079000</v>
      </c>
      <c r="D8608">
        <v>2344</v>
      </c>
    </row>
    <row r="8609" spans="1:4" x14ac:dyDescent="0.25">
      <c r="A8609" t="str">
        <f>T("   630533")</f>
        <v xml:space="preserve">   630533</v>
      </c>
      <c r="B8609" t="str">
        <f>T("   Sacs et sachets d'emballage obtenus à partir de lames ou formes simil., de polyéthylène ou polypropylène (à l'excl. des contenants souples pour matières en vrac)")</f>
        <v xml:space="preserve">   Sacs et sachets d'emballage obtenus à partir de lames ou formes simil., de polyéthylène ou polypropylène (à l'excl. des contenants souples pour matières en vrac)</v>
      </c>
      <c r="C8609">
        <v>38972691</v>
      </c>
      <c r="D8609">
        <v>90443</v>
      </c>
    </row>
    <row r="8610" spans="1:4" x14ac:dyDescent="0.25">
      <c r="A8610" t="str">
        <f>T("   630612")</f>
        <v xml:space="preserve">   630612</v>
      </c>
      <c r="B8610" t="str">
        <f>T("   Bâches et stores d'extérieur de fibres synthétiques (sauf auvents plats en tissus légers, confectionnés selon le type de bâche)")</f>
        <v xml:space="preserve">   Bâches et stores d'extérieur de fibres synthétiques (sauf auvents plats en tissus légers, confectionnés selon le type de bâche)</v>
      </c>
      <c r="C8610">
        <v>214200</v>
      </c>
      <c r="D8610">
        <v>1328</v>
      </c>
    </row>
    <row r="8611" spans="1:4" x14ac:dyDescent="0.25">
      <c r="A8611" t="str">
        <f>T("   630619")</f>
        <v xml:space="preserve">   630619</v>
      </c>
      <c r="B8611" t="str">
        <f>T("   Bâches et stores d'extérieur de matières textiles (autres que de coton ou fibres synthétiques et sauf auvents plats en tissus légers, confectionnés selon le type de bâche)")</f>
        <v xml:space="preserve">   Bâches et stores d'extérieur de matières textiles (autres que de coton ou fibres synthétiques et sauf auvents plats en tissus légers, confectionnés selon le type de bâche)</v>
      </c>
      <c r="C8611">
        <v>4798530</v>
      </c>
      <c r="D8611">
        <v>6138</v>
      </c>
    </row>
    <row r="8612" spans="1:4" x14ac:dyDescent="0.25">
      <c r="A8612" t="str">
        <f>T("   630710")</f>
        <v xml:space="preserve">   630710</v>
      </c>
      <c r="B8612" t="str">
        <f>T("   Serpillières ou wassingues, lavettes, chamoisettes et articles d'entretien simil. en tous types de matières textiles")</f>
        <v xml:space="preserve">   Serpillières ou wassingues, lavettes, chamoisettes et articles d'entretien simil. en tous types de matières textiles</v>
      </c>
      <c r="C8612">
        <v>661224</v>
      </c>
      <c r="D8612">
        <v>450</v>
      </c>
    </row>
    <row r="8613" spans="1:4" x14ac:dyDescent="0.25">
      <c r="A8613" t="str">
        <f>T("   630900")</f>
        <v xml:space="preserve">   630900</v>
      </c>
      <c r="B8613" t="s">
        <v>278</v>
      </c>
      <c r="C8613">
        <v>40784449</v>
      </c>
      <c r="D8613">
        <v>87168</v>
      </c>
    </row>
    <row r="8614" spans="1:4" x14ac:dyDescent="0.25">
      <c r="A8614" t="str">
        <f>T("   631010")</f>
        <v xml:space="preserve">   631010</v>
      </c>
      <c r="B8614" t="str">
        <f>T("   Chiffons en tous types de matières textiles ainsi que ficelles, cordes et cordages et articles composés de ceux-ci, de matières textiles, sous forme de déchets ou d'articles hors d'usage, triés")</f>
        <v xml:space="preserve">   Chiffons en tous types de matières textiles ainsi que ficelles, cordes et cordages et articles composés de ceux-ci, de matières textiles, sous forme de déchets ou d'articles hors d'usage, triés</v>
      </c>
      <c r="C8614">
        <v>36000</v>
      </c>
      <c r="D8614">
        <v>30</v>
      </c>
    </row>
    <row r="8615" spans="1:4" x14ac:dyDescent="0.25">
      <c r="A8615" t="str">
        <f>T("   640220")</f>
        <v xml:space="preserve">   640220</v>
      </c>
      <c r="B8615" t="str">
        <f>T("   Chaussures à semelles extérieures et dessus en caoutchouc ou en matière plastique, à dessus en lanières ou brides fixées à la semelle par des tétons (sauf chaussures ayant le caractère de jouets)")</f>
        <v xml:space="preserve">   Chaussures à semelles extérieures et dessus en caoutchouc ou en matière plastique, à dessus en lanières ou brides fixées à la semelle par des tétons (sauf chaussures ayant le caractère de jouets)</v>
      </c>
      <c r="C8615">
        <v>24176149</v>
      </c>
      <c r="D8615">
        <v>183378</v>
      </c>
    </row>
    <row r="8616" spans="1:4" x14ac:dyDescent="0.25">
      <c r="A8616" t="str">
        <f>T("   640319")</f>
        <v xml:space="preserve">   640319</v>
      </c>
      <c r="B8616" t="s">
        <v>284</v>
      </c>
      <c r="C8616">
        <v>207272</v>
      </c>
      <c r="D8616">
        <v>2050</v>
      </c>
    </row>
    <row r="8617" spans="1:4" x14ac:dyDescent="0.25">
      <c r="A8617" t="str">
        <f>T("   640419")</f>
        <v xml:space="preserve">   640419</v>
      </c>
      <c r="B8617" t="s">
        <v>288</v>
      </c>
      <c r="C8617">
        <v>2620560</v>
      </c>
      <c r="D8617">
        <v>8006</v>
      </c>
    </row>
    <row r="8618" spans="1:4" x14ac:dyDescent="0.25">
      <c r="A8618" t="str">
        <f>T("   640420")</f>
        <v xml:space="preserve">   640420</v>
      </c>
      <c r="B8618" t="str">
        <f>T("   Chaussures à semelles extérieures en cuir naturel ou reconstitué, à dessus en matières textiles (sauf chaussures ayant le caractère de jouets)")</f>
        <v xml:space="preserve">   Chaussures à semelles extérieures en cuir naturel ou reconstitué, à dessus en matières textiles (sauf chaussures ayant le caractère de jouets)</v>
      </c>
      <c r="C8618">
        <v>35400</v>
      </c>
      <c r="D8618">
        <v>1000</v>
      </c>
    </row>
    <row r="8619" spans="1:4" x14ac:dyDescent="0.25">
      <c r="A8619" t="str">
        <f>T("   640590")</f>
        <v xml:space="preserve">   640590</v>
      </c>
      <c r="B8619" t="s">
        <v>289</v>
      </c>
      <c r="C8619">
        <v>25065981</v>
      </c>
      <c r="D8619">
        <v>49754</v>
      </c>
    </row>
    <row r="8620" spans="1:4" x14ac:dyDescent="0.25">
      <c r="A8620" t="str">
        <f>T("   640610")</f>
        <v xml:space="preserve">   640610</v>
      </c>
      <c r="B8620" t="str">
        <f>T("   Dessus de chaussures et leurs parties (sauf contreforts et bouts durs et sauf les parties en amiante)")</f>
        <v xml:space="preserve">   Dessus de chaussures et leurs parties (sauf contreforts et bouts durs et sauf les parties en amiante)</v>
      </c>
      <c r="C8620">
        <v>4000</v>
      </c>
      <c r="D8620">
        <v>20</v>
      </c>
    </row>
    <row r="8621" spans="1:4" x14ac:dyDescent="0.25">
      <c r="A8621" t="str">
        <f>T("   640620")</f>
        <v xml:space="preserve">   640620</v>
      </c>
      <c r="B8621" t="str">
        <f>T("   Semelles extérieures et talons de chaussures, en caoutchouc ou en matière plastique")</f>
        <v xml:space="preserve">   Semelles extérieures et talons de chaussures, en caoutchouc ou en matière plastique</v>
      </c>
      <c r="C8621">
        <v>1882715</v>
      </c>
      <c r="D8621">
        <v>7862</v>
      </c>
    </row>
    <row r="8622" spans="1:4" x14ac:dyDescent="0.25">
      <c r="A8622" t="str">
        <f>T("   640691")</f>
        <v xml:space="preserve">   640691</v>
      </c>
      <c r="B8622" t="str">
        <f>T("   Parties de chaussures en bois (non du n° 6406.10.90)")</f>
        <v xml:space="preserve">   Parties de chaussures en bois (non du n° 6406.10.90)</v>
      </c>
      <c r="C8622">
        <v>21500</v>
      </c>
      <c r="D8622">
        <v>43</v>
      </c>
    </row>
    <row r="8623" spans="1:4" x14ac:dyDescent="0.25">
      <c r="A8623" t="str">
        <f>T("   650590")</f>
        <v xml:space="preserve">   650590</v>
      </c>
      <c r="B8623" t="s">
        <v>290</v>
      </c>
      <c r="C8623">
        <v>222046</v>
      </c>
      <c r="D8623">
        <v>303</v>
      </c>
    </row>
    <row r="8624" spans="1:4" x14ac:dyDescent="0.25">
      <c r="A8624" t="str">
        <f>T("   650610")</f>
        <v xml:space="preserve">   650610</v>
      </c>
      <c r="B8624" t="str">
        <f>T("   Coiffures de sécurité, même garnies")</f>
        <v xml:space="preserve">   Coiffures de sécurité, même garnies</v>
      </c>
      <c r="C8624">
        <v>504800</v>
      </c>
      <c r="D8624">
        <v>200</v>
      </c>
    </row>
    <row r="8625" spans="1:4" x14ac:dyDescent="0.25">
      <c r="A8625" t="str">
        <f>T("   650699")</f>
        <v xml:space="preserve">   650699</v>
      </c>
      <c r="B8625" t="str">
        <f>T("   Chapeaux et autres coiffures, même garnis, n.d.a.")</f>
        <v xml:space="preserve">   Chapeaux et autres coiffures, même garnis, n.d.a.</v>
      </c>
      <c r="C8625">
        <v>181125</v>
      </c>
      <c r="D8625">
        <v>345</v>
      </c>
    </row>
    <row r="8626" spans="1:4" x14ac:dyDescent="0.25">
      <c r="A8626" t="str">
        <f>T("   660199")</f>
        <v xml:space="preserve">   660199</v>
      </c>
      <c r="B8626" t="str">
        <f>T("   Parapluies, y.c. les parapluies-cannes et ombrelles (sauf parapluies et ombrelles à mât ou à manche télescopique, parasols de jardin et articles simil. et sauf jouets d'enfants)")</f>
        <v xml:space="preserve">   Parapluies, y.c. les parapluies-cannes et ombrelles (sauf parapluies et ombrelles à mât ou à manche télescopique, parasols de jardin et articles simil. et sauf jouets d'enfants)</v>
      </c>
      <c r="C8626">
        <v>319875</v>
      </c>
      <c r="D8626">
        <v>180</v>
      </c>
    </row>
    <row r="8627" spans="1:4" x14ac:dyDescent="0.25">
      <c r="A8627" t="str">
        <f>T("   670290")</f>
        <v xml:space="preserve">   670290</v>
      </c>
      <c r="B8627" t="str">
        <f>T("   Fleurs, feuillages et fruits artificiels, y.c. leurs parties; articles confectionnés en fleurs, feuillages ou fruits artificiels fabriqués par ligature, collage, emboîtage ou procédés simil. (autres qu'en matière plastique)")</f>
        <v xml:space="preserve">   Fleurs, feuillages et fruits artificiels, y.c. leurs parties; articles confectionnés en fleurs, feuillages ou fruits artificiels fabriqués par ligature, collage, emboîtage ou procédés simil. (autres qu'en matière plastique)</v>
      </c>
      <c r="C8627">
        <v>17800</v>
      </c>
      <c r="D8627">
        <v>89</v>
      </c>
    </row>
    <row r="8628" spans="1:4" x14ac:dyDescent="0.25">
      <c r="A8628" t="str">
        <f>T("   670419")</f>
        <v xml:space="preserve">   670419</v>
      </c>
      <c r="B8628" t="str">
        <f>T("   Barbes, sourcils, cils, mèches et articles simil., en matières textiles synthétiques (sauf perruques complètes)")</f>
        <v xml:space="preserve">   Barbes, sourcils, cils, mèches et articles simil., en matières textiles synthétiques (sauf perruques complètes)</v>
      </c>
      <c r="C8628">
        <v>32819337</v>
      </c>
      <c r="D8628">
        <v>37496</v>
      </c>
    </row>
    <row r="8629" spans="1:4" x14ac:dyDescent="0.25">
      <c r="A8629" t="str">
        <f>T("   680221")</f>
        <v xml:space="preserve">   680221</v>
      </c>
      <c r="B8629" t="s">
        <v>293</v>
      </c>
      <c r="C8629">
        <v>121824</v>
      </c>
      <c r="D8629">
        <v>100</v>
      </c>
    </row>
    <row r="8630" spans="1:4" x14ac:dyDescent="0.25">
      <c r="A8630" t="str">
        <f>T("   680223")</f>
        <v xml:space="preserve">   680223</v>
      </c>
      <c r="B8630" t="str">
        <f>T("   Granit et ouvrages en ces pierres, simplement taillés ou sciés, à surface plane ou unie (sauf à surface entièrement ou partiellement rabotée, poncée au papier sablé, grossièrement ou finement meulée ou polie; non du n° 6801.00.00 ou 6802.10.00)")</f>
        <v xml:space="preserve">   Granit et ouvrages en ces pierres, simplement taillés ou sciés, à surface plane ou unie (sauf à surface entièrement ou partiellement rabotée, poncée au papier sablé, grossièrement ou finement meulée ou polie; non du n° 6801.00.00 ou 6802.10.00)</v>
      </c>
      <c r="C8630">
        <v>500000</v>
      </c>
      <c r="D8630">
        <v>1376</v>
      </c>
    </row>
    <row r="8631" spans="1:4" x14ac:dyDescent="0.25">
      <c r="A8631" t="str">
        <f>T("   680990")</f>
        <v xml:space="preserve">   680990</v>
      </c>
      <c r="B8631" t="s">
        <v>302</v>
      </c>
      <c r="C8631">
        <v>4513100</v>
      </c>
      <c r="D8631">
        <v>12326</v>
      </c>
    </row>
    <row r="8632" spans="1:4" x14ac:dyDescent="0.25">
      <c r="A8632" t="str">
        <f>T("   681110")</f>
        <v xml:space="preserve">   681110</v>
      </c>
      <c r="B8632" t="str">
        <f>T("   Plaques ondulées en amiante-ciment, cellulose-ciment ou simil.")</f>
        <v xml:space="preserve">   Plaques ondulées en amiante-ciment, cellulose-ciment ou simil.</v>
      </c>
      <c r="C8632">
        <v>664679669</v>
      </c>
      <c r="D8632">
        <v>2323500</v>
      </c>
    </row>
    <row r="8633" spans="1:4" x14ac:dyDescent="0.25">
      <c r="A8633" t="str">
        <f>T("   681120")</f>
        <v xml:space="preserve">   681120</v>
      </c>
      <c r="B8633" t="str">
        <f>T("   Plaques, panneaux, carreaux, tuiles et articles simil., en amiante-ciment, cellulose-ciment ou simil. (sauf plaques ondulées)")</f>
        <v xml:space="preserve">   Plaques, panneaux, carreaux, tuiles et articles simil., en amiante-ciment, cellulose-ciment ou simil. (sauf plaques ondulées)</v>
      </c>
      <c r="C8633">
        <v>782400</v>
      </c>
      <c r="D8633">
        <v>10120</v>
      </c>
    </row>
    <row r="8634" spans="1:4" x14ac:dyDescent="0.25">
      <c r="A8634" t="str">
        <f>T("   690510")</f>
        <v xml:space="preserve">   690510</v>
      </c>
      <c r="B8634" t="str">
        <f>T("   Tuiles")</f>
        <v xml:space="preserve">   Tuiles</v>
      </c>
      <c r="C8634">
        <v>144000</v>
      </c>
      <c r="D8634">
        <v>200</v>
      </c>
    </row>
    <row r="8635" spans="1:4" x14ac:dyDescent="0.25">
      <c r="A8635" t="str">
        <f>T("   690810")</f>
        <v xml:space="preserve">   690810</v>
      </c>
      <c r="B8635" t="str">
        <f>T("   Carreaux, cubes, dés et simil., en céramique, pour mosaïques, vernissés ou émaillés, même de forme autre que carrée ou rectangulaire, dont la plus grande surface peut être inscrite dans un carré de côté &lt; 7 cm, même sur support")</f>
        <v xml:space="preserve">   Carreaux, cubes, dés et simil., en céramique, pour mosaïques, vernissés ou émaillés, même de forme autre que carrée ou rectangulaire, dont la plus grande surface peut être inscrite dans un carré de côté &lt; 7 cm, même sur support</v>
      </c>
      <c r="C8635">
        <v>726600</v>
      </c>
      <c r="D8635">
        <v>9691</v>
      </c>
    </row>
    <row r="8636" spans="1:4" x14ac:dyDescent="0.25">
      <c r="A8636" t="str">
        <f>T("   690890")</f>
        <v xml:space="preserve">   690890</v>
      </c>
      <c r="B8636" t="s">
        <v>311</v>
      </c>
      <c r="C8636">
        <v>24000</v>
      </c>
      <c r="D8636">
        <v>260</v>
      </c>
    </row>
    <row r="8637" spans="1:4" x14ac:dyDescent="0.25">
      <c r="A8637" t="str">
        <f>T("   691010")</f>
        <v xml:space="preserve">   691010</v>
      </c>
      <c r="B8637" t="s">
        <v>312</v>
      </c>
      <c r="C8637">
        <v>672578</v>
      </c>
      <c r="D8637">
        <v>1920</v>
      </c>
    </row>
    <row r="8638" spans="1:4" x14ac:dyDescent="0.25">
      <c r="A8638" t="str">
        <f>T("   691090")</f>
        <v xml:space="preserve">   691090</v>
      </c>
      <c r="B8638" t="s">
        <v>313</v>
      </c>
      <c r="C8638">
        <v>576000</v>
      </c>
      <c r="D8638">
        <v>1300</v>
      </c>
    </row>
    <row r="8639" spans="1:4" x14ac:dyDescent="0.25">
      <c r="A8639" t="str">
        <f>T("   691110")</f>
        <v xml:space="preserve">   691110</v>
      </c>
      <c r="B8639" t="s">
        <v>314</v>
      </c>
      <c r="C8639">
        <v>30000</v>
      </c>
      <c r="D8639">
        <v>30</v>
      </c>
    </row>
    <row r="8640" spans="1:4" x14ac:dyDescent="0.25">
      <c r="A8640" t="str">
        <f>T("   691190")</f>
        <v xml:space="preserve">   691190</v>
      </c>
      <c r="B8640" t="s">
        <v>315</v>
      </c>
      <c r="C8640">
        <v>11500</v>
      </c>
      <c r="D8640">
        <v>23</v>
      </c>
    </row>
    <row r="8641" spans="1:4" x14ac:dyDescent="0.25">
      <c r="A8641" t="str">
        <f>T("   691200")</f>
        <v xml:space="preserve">   691200</v>
      </c>
      <c r="B8641" t="s">
        <v>316</v>
      </c>
      <c r="C8641">
        <v>508500</v>
      </c>
      <c r="D8641">
        <v>652</v>
      </c>
    </row>
    <row r="8642" spans="1:4" x14ac:dyDescent="0.25">
      <c r="A8642" t="str">
        <f>T("   700320")</f>
        <v xml:space="preserve">   700320</v>
      </c>
      <c r="B8642" t="str">
        <f>T("   PLAQUES ET FEUILLES EN VERRE DIT 'COULÉ', ARMÉES, MÊME À COUCHE ABSORBANTE, RÉFLÉCHISSANTE OU NON RÉFLÉCHISSANTE, MAIS NON AUTREMENT TRAVAILLÉES [01/01/1988-31/12/1994: PLAQUES ET FEUILLES EN VERRE COULE, ARMEES, MAIS NON AUTREMENT TRAVAILLÉES]")</f>
        <v xml:space="preserve">   PLAQUES ET FEUILLES EN VERRE DIT 'COULÉ', ARMÉES, MÊME À COUCHE ABSORBANTE, RÉFLÉCHISSANTE OU NON RÉFLÉCHISSANTE, MAIS NON AUTREMENT TRAVAILLÉES [01/01/1988-31/12/1994: PLAQUES ET FEUILLES EN VERRE COULE, ARMEES, MAIS NON AUTREMENT TRAVAILLÉES]</v>
      </c>
      <c r="C8642">
        <v>28100000</v>
      </c>
      <c r="D8642">
        <v>39300</v>
      </c>
    </row>
    <row r="8643" spans="1:4" x14ac:dyDescent="0.25">
      <c r="A8643" t="str">
        <f>T("   700420")</f>
        <v xml:space="preserve">   700420</v>
      </c>
      <c r="B8643" t="str">
        <f>T("   FEUILLES EN VERRE ÉTIRÉ OU SOUFFLÉ, COLORÉ DANS LA MASSE, OPACIFIÉ, PLAQUÉ [DOUBLÉES], OU À COUCHE ABSORBANTE, RÉFLÉCHISSANTE OU NON-RÉFLÉCHISSANTE, MAIS NON AUTREMENT TRAVAILLÉ")</f>
        <v xml:space="preserve">   FEUILLES EN VERRE ÉTIRÉ OU SOUFFLÉ, COLORÉ DANS LA MASSE, OPACIFIÉ, PLAQUÉ [DOUBLÉES], OU À COUCHE ABSORBANTE, RÉFLÉCHISSANTE OU NON-RÉFLÉCHISSANTE, MAIS NON AUTREMENT TRAVAILLÉ</v>
      </c>
      <c r="C8643">
        <v>192272</v>
      </c>
      <c r="D8643">
        <v>50</v>
      </c>
    </row>
    <row r="8644" spans="1:4" x14ac:dyDescent="0.25">
      <c r="A8644" t="str">
        <f>T("   700510")</f>
        <v xml:space="preserve">   700510</v>
      </c>
      <c r="B8644" t="str">
        <f>T("   PLAQUES OU FEUILLES EN GLACE [VERRE FLOTTÉ ET VERRE DOUCI OU POLI SUR UNE OU DEUX FACES], À COUCHE ABSORBANTE, RÉFLÉCHISSANTE OU NON-RÉFLÉCHISSANTE, MAIS NON AUTREMENT TRAVAILLÉE (SAUF ARMÉE)")</f>
        <v xml:space="preserve">   PLAQUES OU FEUILLES EN GLACE [VERRE FLOTTÉ ET VERRE DOUCI OU POLI SUR UNE OU DEUX FACES], À COUCHE ABSORBANTE, RÉFLÉCHISSANTE OU NON-RÉFLÉCHISSANTE, MAIS NON AUTREMENT TRAVAILLÉE (SAUF ARMÉE)</v>
      </c>
      <c r="C8644">
        <v>1122494</v>
      </c>
      <c r="D8644">
        <v>4689</v>
      </c>
    </row>
    <row r="8645" spans="1:4" x14ac:dyDescent="0.25">
      <c r="A8645" t="str">
        <f>T("   700529")</f>
        <v xml:space="preserve">   700529</v>
      </c>
      <c r="B8645" t="s">
        <v>318</v>
      </c>
      <c r="C8645">
        <v>8329799</v>
      </c>
      <c r="D8645">
        <v>12380</v>
      </c>
    </row>
    <row r="8646" spans="1:4" x14ac:dyDescent="0.25">
      <c r="A8646" t="str">
        <f>T("   700711")</f>
        <v xml:space="preserve">   700711</v>
      </c>
      <c r="B8646" t="str">
        <f>T("   VERRES TREMPÉS DE DIMENSIONS ET FORMATS PERMETTANT LEUR EMPLOI DANS LES AUTOMOBILES, VÉHICULES AÉRIENS, BATEAUX OU AUTRES VÉHICULES [01/01/1988-31/12/1988: VERRES TREMPES, -DE SECURITE-, POUR AUTOMOBILES, AERODYNES, BATEAUX OU AUTRES VÉHICULES]")</f>
        <v xml:space="preserve">   VERRES TREMPÉS DE DIMENSIONS ET FORMATS PERMETTANT LEUR EMPLOI DANS LES AUTOMOBILES, VÉHICULES AÉRIENS, BATEAUX OU AUTRES VÉHICULES [01/01/1988-31/12/1988: VERRES TREMPES, -DE SECURITE-, POUR AUTOMOBILES, AERODYNES, BATEAUX OU AUTRES VÉHICULES]</v>
      </c>
      <c r="C8646">
        <v>4298250</v>
      </c>
      <c r="D8646">
        <v>4500</v>
      </c>
    </row>
    <row r="8647" spans="1:4" x14ac:dyDescent="0.25">
      <c r="A8647" t="str">
        <f>T("   700721")</f>
        <v xml:space="preserve">   700721</v>
      </c>
      <c r="B8647" t="s">
        <v>321</v>
      </c>
      <c r="C8647">
        <v>1203500</v>
      </c>
      <c r="D8647">
        <v>650</v>
      </c>
    </row>
    <row r="8648" spans="1:4" x14ac:dyDescent="0.25">
      <c r="A8648" t="str">
        <f>T("   700991")</f>
        <v xml:space="preserve">   700991</v>
      </c>
      <c r="B8648" t="str">
        <f>T("   Miroirs en verre non encadrés (sauf miroirs rétroviseurs pour véhicules, miroirs optiques, optiquement travaillés et miroirs de plus de 100 ans)")</f>
        <v xml:space="preserve">   Miroirs en verre non encadrés (sauf miroirs rétroviseurs pour véhicules, miroirs optiques, optiquement travaillés et miroirs de plus de 100 ans)</v>
      </c>
      <c r="C8648">
        <v>22750</v>
      </c>
      <c r="D8648">
        <v>65</v>
      </c>
    </row>
    <row r="8649" spans="1:4" x14ac:dyDescent="0.25">
      <c r="A8649" t="str">
        <f>T("   701090")</f>
        <v xml:space="preserve">   701090</v>
      </c>
      <c r="B8649" t="s">
        <v>323</v>
      </c>
      <c r="C8649">
        <v>12354686</v>
      </c>
      <c r="D8649">
        <v>27520</v>
      </c>
    </row>
    <row r="8650" spans="1:4" x14ac:dyDescent="0.25">
      <c r="A8650" t="str">
        <f>T("   701091")</f>
        <v xml:space="preserve">   701091</v>
      </c>
      <c r="B8650" t="s">
        <v>324</v>
      </c>
      <c r="C8650">
        <v>40000</v>
      </c>
      <c r="D8650">
        <v>1000</v>
      </c>
    </row>
    <row r="8651" spans="1:4" x14ac:dyDescent="0.25">
      <c r="A8651" t="str">
        <f>T("   701092")</f>
        <v xml:space="preserve">   701092</v>
      </c>
      <c r="B8651" t="s">
        <v>325</v>
      </c>
      <c r="C8651">
        <v>7523500</v>
      </c>
      <c r="D8651">
        <v>168200</v>
      </c>
    </row>
    <row r="8652" spans="1:4" x14ac:dyDescent="0.25">
      <c r="A8652" t="str">
        <f>T("   701094")</f>
        <v xml:space="preserve">   701094</v>
      </c>
      <c r="B8652" t="s">
        <v>326</v>
      </c>
      <c r="C8652">
        <v>11250</v>
      </c>
      <c r="D8652">
        <v>750</v>
      </c>
    </row>
    <row r="8653" spans="1:4" x14ac:dyDescent="0.25">
      <c r="A8653" t="str">
        <f>T("   701329")</f>
        <v xml:space="preserve">   701329</v>
      </c>
      <c r="B8653" t="str">
        <f>T("   Verres à boire (autres qu'en vitrocérame, autres qu'en cristal au plomb)")</f>
        <v xml:space="preserve">   Verres à boire (autres qu'en vitrocérame, autres qu'en cristal au plomb)</v>
      </c>
      <c r="C8653">
        <v>508080</v>
      </c>
      <c r="D8653">
        <v>1664</v>
      </c>
    </row>
    <row r="8654" spans="1:4" x14ac:dyDescent="0.25">
      <c r="A8654" t="str">
        <f>T("   701790")</f>
        <v xml:space="preserve">   701790</v>
      </c>
      <c r="B8654" t="s">
        <v>337</v>
      </c>
      <c r="C8654">
        <v>189000</v>
      </c>
      <c r="D8654">
        <v>60</v>
      </c>
    </row>
    <row r="8655" spans="1:4" x14ac:dyDescent="0.25">
      <c r="A8655" t="str">
        <f>T("   701890")</f>
        <v xml:space="preserve">   701890</v>
      </c>
      <c r="B8655" t="s">
        <v>339</v>
      </c>
      <c r="C8655">
        <v>213500</v>
      </c>
      <c r="D8655">
        <v>864</v>
      </c>
    </row>
    <row r="8656" spans="1:4" x14ac:dyDescent="0.25">
      <c r="A8656" t="str">
        <f>T("   710122")</f>
        <v xml:space="preserve">   710122</v>
      </c>
      <c r="B8656" t="str">
        <f>T("   Perles de culture, travaillées, même assorties, mais non enfilées, ni montées, ni serties, et perles de culture travaillées enfilées temporairement pour la facilité du transport")</f>
        <v xml:space="preserve">   Perles de culture, travaillées, même assorties, mais non enfilées, ni montées, ni serties, et perles de culture travaillées enfilées temporairement pour la facilité du transport</v>
      </c>
      <c r="C8656">
        <v>305000</v>
      </c>
      <c r="D8656">
        <v>1234</v>
      </c>
    </row>
    <row r="8657" spans="1:4" x14ac:dyDescent="0.25">
      <c r="A8657" t="str">
        <f>T("   711790")</f>
        <v xml:space="preserve">   711790</v>
      </c>
      <c r="B8657" t="str">
        <f>T("   Bijouterie de fantaisie (autre qu'en métaux communs, même argentés, dorés ou platinés)")</f>
        <v xml:space="preserve">   Bijouterie de fantaisie (autre qu'en métaux communs, même argentés, dorés ou platinés)</v>
      </c>
      <c r="C8657">
        <v>35326750</v>
      </c>
      <c r="D8657">
        <v>11474</v>
      </c>
    </row>
    <row r="8658" spans="1:4" x14ac:dyDescent="0.25">
      <c r="A8658" t="str">
        <f>T("   720410")</f>
        <v xml:space="preserve">   720410</v>
      </c>
      <c r="B8658" t="str">
        <f>T("   DÉCHETS ET DÉBRIS DE FONTE -FERRAILLES- (AUTRES QUE RADIOACTIFS)")</f>
        <v xml:space="preserve">   DÉCHETS ET DÉBRIS DE FONTE -FERRAILLES- (AUTRES QUE RADIOACTIFS)</v>
      </c>
      <c r="C8658">
        <v>250541629</v>
      </c>
      <c r="D8658">
        <v>4568181</v>
      </c>
    </row>
    <row r="8659" spans="1:4" x14ac:dyDescent="0.25">
      <c r="A8659" t="str">
        <f>T("   720449")</f>
        <v xml:space="preserve">   720449</v>
      </c>
      <c r="B8659" t="s">
        <v>342</v>
      </c>
      <c r="C8659">
        <v>172000</v>
      </c>
      <c r="D8659">
        <v>150</v>
      </c>
    </row>
    <row r="8660" spans="1:4" x14ac:dyDescent="0.25">
      <c r="A8660" t="str">
        <f>T("   721041")</f>
        <v xml:space="preserve">   721041</v>
      </c>
      <c r="B8660" t="str">
        <f>T("   Produits laminés plats, en fer ou en aciers non alliés, d'une largeur &gt;= 600 mm, laminés à chaud ou à froid, zingués, ondulés (à l'excl. des produits zingués électrolytiquement)")</f>
        <v xml:space="preserve">   Produits laminés plats, en fer ou en aciers non alliés, d'une largeur &gt;= 600 mm, laminés à chaud ou à froid, zingués, ondulés (à l'excl. des produits zingués électrolytiquement)</v>
      </c>
      <c r="C8660">
        <v>201836011</v>
      </c>
      <c r="D8660">
        <v>362324</v>
      </c>
    </row>
    <row r="8661" spans="1:4" x14ac:dyDescent="0.25">
      <c r="A8661" t="str">
        <f>T("   721049")</f>
        <v xml:space="preserve">   721049</v>
      </c>
      <c r="B8661" t="str">
        <f>T("   Produits laminés plats, en fer ou en aciers non alliés, d'une largeur &gt;= 600 mm, laminés à chaud ou à froid, zingués, non ondulés (à l'excl. des produits zingués électrolytiquement)")</f>
        <v xml:space="preserve">   Produits laminés plats, en fer ou en aciers non alliés, d'une largeur &gt;= 600 mm, laminés à chaud ou à froid, zingués, non ondulés (à l'excl. des produits zingués électrolytiquement)</v>
      </c>
      <c r="C8661">
        <v>653441921</v>
      </c>
      <c r="D8661">
        <v>1174672</v>
      </c>
    </row>
    <row r="8662" spans="1:4" x14ac:dyDescent="0.25">
      <c r="A8662" t="str">
        <f>T("   721090")</f>
        <v xml:space="preserve">   721090</v>
      </c>
      <c r="B8662" t="s">
        <v>343</v>
      </c>
      <c r="C8662">
        <v>261897005</v>
      </c>
      <c r="D8662">
        <v>1527530</v>
      </c>
    </row>
    <row r="8663" spans="1:4" x14ac:dyDescent="0.25">
      <c r="A8663" t="str">
        <f>T("   721410")</f>
        <v xml:space="preserve">   721410</v>
      </c>
      <c r="B8663" t="str">
        <f>T("   Barres, en fer ou en aciers non alliés, simplement forgées")</f>
        <v xml:space="preserve">   Barres, en fer ou en aciers non alliés, simplement forgées</v>
      </c>
      <c r="C8663">
        <v>27887463</v>
      </c>
      <c r="D8663">
        <v>122800</v>
      </c>
    </row>
    <row r="8664" spans="1:4" x14ac:dyDescent="0.25">
      <c r="A8664" t="str">
        <f>T("   721420")</f>
        <v xml:space="preserve">   721420</v>
      </c>
      <c r="B8664" t="str">
        <f>T("   BARRES EN FER OU EN ACIERS NON ALLIÉS, COMPORTANT DES INDENTATIONS, BOURRELETS, CREUX OU RELIEFS OBTENUS AU COURS DU LAMINAGE OU AYANT SUBI UNE TORSION APRÈS LAMINAGE")</f>
        <v xml:space="preserve">   BARRES EN FER OU EN ACIERS NON ALLIÉS, COMPORTANT DES INDENTATIONS, BOURRELETS, CREUX OU RELIEFS OBTENUS AU COURS DU LAMINAGE OU AYANT SUBI UNE TORSION APRÈS LAMINAGE</v>
      </c>
      <c r="C8664">
        <v>55801973</v>
      </c>
      <c r="D8664">
        <v>279446</v>
      </c>
    </row>
    <row r="8665" spans="1:4" x14ac:dyDescent="0.25">
      <c r="A8665" t="str">
        <f>T("   721590")</f>
        <v xml:space="preserve">   721590</v>
      </c>
      <c r="B8665" t="str">
        <f>T("   Barres en fer ou en aciers non alliés, obtenues ou parachevées à froid et ayant subi certaines ouvraisons plus poussées ou obtenues à chaud et ayant subi certaines ouvraisons plus poussées, n.d.a.")</f>
        <v xml:space="preserve">   Barres en fer ou en aciers non alliés, obtenues ou parachevées à froid et ayant subi certaines ouvraisons plus poussées ou obtenues à chaud et ayant subi certaines ouvraisons plus poussées, n.d.a.</v>
      </c>
      <c r="C8665">
        <v>48926878</v>
      </c>
      <c r="D8665">
        <v>178800</v>
      </c>
    </row>
    <row r="8666" spans="1:4" x14ac:dyDescent="0.25">
      <c r="A8666" t="str">
        <f>T("   721610")</f>
        <v xml:space="preserve">   721610</v>
      </c>
      <c r="B8666" t="str">
        <f>T("   PROFILÉS U, I OU H EN FER OU EN ACIERS NON ALLIÉS, SIMPLEMENT LAMINÉS OU FILÉS À CHAUD, HAUTEUR &lt; 80 MM")</f>
        <v xml:space="preserve">   PROFILÉS U, I OU H EN FER OU EN ACIERS NON ALLIÉS, SIMPLEMENT LAMINÉS OU FILÉS À CHAUD, HAUTEUR &lt; 80 MM</v>
      </c>
      <c r="C8666">
        <v>12000</v>
      </c>
      <c r="D8666">
        <v>20</v>
      </c>
    </row>
    <row r="8667" spans="1:4" x14ac:dyDescent="0.25">
      <c r="A8667" t="str">
        <f>T("   721631")</f>
        <v xml:space="preserve">   721631</v>
      </c>
      <c r="B8667" t="str">
        <f>T("   PROFILÉS EN U, EN FER OU EN ACIERS NON-ALLIÉS, SIMPL. LAMINÉS OU FILÉS À CHAUD, D'UNE HAUTEUR &gt;= 80 MM")</f>
        <v xml:space="preserve">   PROFILÉS EN U, EN FER OU EN ACIERS NON-ALLIÉS, SIMPL. LAMINÉS OU FILÉS À CHAUD, D'UNE HAUTEUR &gt;= 80 MM</v>
      </c>
      <c r="C8667">
        <v>86783546</v>
      </c>
      <c r="D8667">
        <v>311140</v>
      </c>
    </row>
    <row r="8668" spans="1:4" x14ac:dyDescent="0.25">
      <c r="A8668" t="str">
        <f>T("   721632")</f>
        <v xml:space="preserve">   721632</v>
      </c>
      <c r="B8668" t="str">
        <f>T("   PROFILÉS EN I, EN FER OU EN ACIERS NON-ALLIÉS, SIMPL. LAMINÉS OU FILÉS À CHAUD, D'UNE HAUTEUR &gt;= 80 MM")</f>
        <v xml:space="preserve">   PROFILÉS EN I, EN FER OU EN ACIERS NON-ALLIÉS, SIMPL. LAMINÉS OU FILÉS À CHAUD, D'UNE HAUTEUR &gt;= 80 MM</v>
      </c>
      <c r="C8668">
        <v>507600</v>
      </c>
      <c r="D8668">
        <v>2125</v>
      </c>
    </row>
    <row r="8669" spans="1:4" x14ac:dyDescent="0.25">
      <c r="A8669" t="str">
        <f>T("   721633")</f>
        <v xml:space="preserve">   721633</v>
      </c>
      <c r="B8669" t="str">
        <f>T("   PROFILÉS EN H, EN FER OU EN ACIERS NON-ALLIÉS, SIMPL. LAMINÉS OU FILÉS À CHAUD, D'UNE HAUTEUR &gt;= 80 MM")</f>
        <v xml:space="preserve">   PROFILÉS EN H, EN FER OU EN ACIERS NON-ALLIÉS, SIMPL. LAMINÉS OU FILÉS À CHAUD, D'UNE HAUTEUR &gt;= 80 MM</v>
      </c>
      <c r="C8669">
        <v>9923486</v>
      </c>
      <c r="D8669">
        <v>38510</v>
      </c>
    </row>
    <row r="8670" spans="1:4" x14ac:dyDescent="0.25">
      <c r="A8670" t="str">
        <f>T("   721699")</f>
        <v xml:space="preserve">   721699</v>
      </c>
      <c r="B8670" t="s">
        <v>347</v>
      </c>
      <c r="C8670">
        <v>1978061</v>
      </c>
      <c r="D8670">
        <v>8000</v>
      </c>
    </row>
    <row r="8671" spans="1:4" x14ac:dyDescent="0.25">
      <c r="A8671" t="str">
        <f>T("   721790")</f>
        <v xml:space="preserve">   721790</v>
      </c>
      <c r="B8671" t="str">
        <f>T("   FILS EN FER OU EN ACIERS NON-ALLIÉS, ENROULÉS, REVÊTUS (À L'EXCL. DU FIL MACHINE AINSI QUE DES FILS REVÊTUS DE MÉTAUX COMMUNS)")</f>
        <v xml:space="preserve">   FILS EN FER OU EN ACIERS NON-ALLIÉS, ENROULÉS, REVÊTUS (À L'EXCL. DU FIL MACHINE AINSI QUE DES FILS REVÊTUS DE MÉTAUX COMMUNS)</v>
      </c>
      <c r="C8671">
        <v>77000</v>
      </c>
      <c r="D8671">
        <v>400</v>
      </c>
    </row>
    <row r="8672" spans="1:4" x14ac:dyDescent="0.25">
      <c r="A8672" t="str">
        <f>T("   722230")</f>
        <v xml:space="preserve">   722230</v>
      </c>
      <c r="B8672" t="str">
        <f>T("   BARRES, EN ACIERS INOXYDABLES, OBTENUES OU PARACHEVÉES À FROID ET AYANT SUBI CERTAINES OUVRAISONS PLUS POUSSÉES OU SIMPL. FORGÉES OU FORGÉES OU AUTREMENT OBTENUES À CHAUD ET AYANT SUBI CERTAINES OUVRAISONS PLUS POUSSÉES, N.D.A.")</f>
        <v xml:space="preserve">   BARRES, EN ACIERS INOXYDABLES, OBTENUES OU PARACHEVÉES À FROID ET AYANT SUBI CERTAINES OUVRAISONS PLUS POUSSÉES OU SIMPL. FORGÉES OU FORGÉES OU AUTREMENT OBTENUES À CHAUD ET AYANT SUBI CERTAINES OUVRAISONS PLUS POUSSÉES, N.D.A.</v>
      </c>
      <c r="C8672">
        <v>295200</v>
      </c>
      <c r="D8672">
        <v>1130</v>
      </c>
    </row>
    <row r="8673" spans="1:4" x14ac:dyDescent="0.25">
      <c r="A8673" t="str">
        <f>T("   722860")</f>
        <v xml:space="preserve">   722860</v>
      </c>
      <c r="B8673" t="str">
        <f>T("   Barres en aciers alliés autres qu'aciers inoxydables, obtenues ou parachevées à froid et autrement traitées, ou obtenues à chaud et autrement traitées n.d.a. (sauf en aciers à coupe rapide ou aciers silicomanganeux)")</f>
        <v xml:space="preserve">   Barres en aciers alliés autres qu'aciers inoxydables, obtenues ou parachevées à froid et autrement traitées, ou obtenues à chaud et autrement traitées n.d.a. (sauf en aciers à coupe rapide ou aciers silicomanganeux)</v>
      </c>
      <c r="C8673">
        <v>60000</v>
      </c>
      <c r="D8673">
        <v>75</v>
      </c>
    </row>
    <row r="8674" spans="1:4" x14ac:dyDescent="0.25">
      <c r="A8674" t="str">
        <f>T("   730110")</f>
        <v xml:space="preserve">   730110</v>
      </c>
      <c r="B8674" t="str">
        <f>T("   PALPLANCHES EN FER OU EN ACIER, MÊME PERCÉES OU FAITES D'ÉLÉMENTS ASSEMBLÉS")</f>
        <v xml:space="preserve">   PALPLANCHES EN FER OU EN ACIER, MÊME PERCÉES OU FAITES D'ÉLÉMENTS ASSEMBLÉS</v>
      </c>
      <c r="C8674">
        <v>553250</v>
      </c>
      <c r="D8674">
        <v>945</v>
      </c>
    </row>
    <row r="8675" spans="1:4" x14ac:dyDescent="0.25">
      <c r="A8675" t="str">
        <f>T("   730230")</f>
        <v xml:space="preserve">   730230</v>
      </c>
      <c r="B8675" t="str">
        <f>T("   Aiguilles, pointes de coeur, tringles d'aiguillage et autres éléments de croisement ou de changement de voies, en fonte, fer ou acier")</f>
        <v xml:space="preserve">   Aiguilles, pointes de coeur, tringles d'aiguillage et autres éléments de croisement ou de changement de voies, en fonte, fer ou acier</v>
      </c>
      <c r="C8675">
        <v>90000</v>
      </c>
      <c r="D8675">
        <v>100</v>
      </c>
    </row>
    <row r="8676" spans="1:4" x14ac:dyDescent="0.25">
      <c r="A8676" t="str">
        <f>T("   730300")</f>
        <v xml:space="preserve">   730300</v>
      </c>
      <c r="B8676" t="str">
        <f>T("   Tubes, tuyaux et profilés creux, en fonte")</f>
        <v xml:space="preserve">   Tubes, tuyaux et profilés creux, en fonte</v>
      </c>
      <c r="C8676">
        <v>35819729</v>
      </c>
      <c r="D8676">
        <v>144220</v>
      </c>
    </row>
    <row r="8677" spans="1:4" x14ac:dyDescent="0.25">
      <c r="A8677" t="str">
        <f>T("   730410")</f>
        <v xml:space="preserve">   730410</v>
      </c>
      <c r="B8677" t="str">
        <f>T("   Tubes et tuyaux sans soudure, en fer (à l'excl. de la fonte) ou en acier, des types utilisés pour oléoducs ou gazoducs")</f>
        <v xml:space="preserve">   Tubes et tuyaux sans soudure, en fer (à l'excl. de la fonte) ou en acier, des types utilisés pour oléoducs ou gazoducs</v>
      </c>
      <c r="C8677">
        <v>11600000</v>
      </c>
      <c r="D8677">
        <v>42300</v>
      </c>
    </row>
    <row r="8678" spans="1:4" x14ac:dyDescent="0.25">
      <c r="A8678" t="str">
        <f>T("   730431")</f>
        <v xml:space="preserve">   730431</v>
      </c>
      <c r="B8678" t="s">
        <v>349</v>
      </c>
      <c r="C8678">
        <v>100000</v>
      </c>
      <c r="D8678">
        <v>120</v>
      </c>
    </row>
    <row r="8679" spans="1:4" x14ac:dyDescent="0.25">
      <c r="A8679" t="str">
        <f>T("   730459")</f>
        <v xml:space="preserve">   730459</v>
      </c>
      <c r="B8679" t="str">
        <f>T("   TUBES, TUYAUX ET PROFILÉS CREUX, SANS SOUDURE, DE SECTION CIRCULAIRE, EN ACIERS ALLIÉS AUTRES QU'INOXYDABLES, NON-ÉTIRÉS OU LAMINÉS À FROID (SAUF TUBES DES TYPES UTILISÉS POUR LES OLÉODUCS OU LES GAZODUCS OU POUR L'EXTRACTION DE PÉTROLE OU DE GAZ)")</f>
        <v xml:space="preserve">   TUBES, TUYAUX ET PROFILÉS CREUX, SANS SOUDURE, DE SECTION CIRCULAIRE, EN ACIERS ALLIÉS AUTRES QU'INOXYDABLES, NON-ÉTIRÉS OU LAMINÉS À FROID (SAUF TUBES DES TYPES UTILISÉS POUR LES OLÉODUCS OU LES GAZODUCS OU POUR L'EXTRACTION DE PÉTROLE OU DE GAZ)</v>
      </c>
      <c r="C8679">
        <v>112500</v>
      </c>
      <c r="D8679">
        <v>60</v>
      </c>
    </row>
    <row r="8680" spans="1:4" x14ac:dyDescent="0.25">
      <c r="A8680" t="str">
        <f>T("   730630")</f>
        <v xml:space="preserve">   730630</v>
      </c>
      <c r="B8680" t="s">
        <v>351</v>
      </c>
      <c r="C8680">
        <v>12792473</v>
      </c>
      <c r="D8680">
        <v>37745</v>
      </c>
    </row>
    <row r="8681" spans="1:4" x14ac:dyDescent="0.25">
      <c r="A8681" t="str">
        <f>T("   730690")</f>
        <v xml:space="preserve">   730690</v>
      </c>
      <c r="B8681" t="str">
        <f>T("   Tubes, tuyaux et profilés creux [p.ex. rivés, agrafés ou à bords simplement rapprochés], en fer ou en acier (sauf tubes sans soudure ou soudés et tubes de sections intérieure et extérieure circulaires et d'un diamètre extérieur &gt; 406,4 mm)")</f>
        <v xml:space="preserve">   Tubes, tuyaux et profilés creux [p.ex. rivés, agrafés ou à bords simplement rapprochés], en fer ou en acier (sauf tubes sans soudure ou soudés et tubes de sections intérieure et extérieure circulaires et d'un diamètre extérieur &gt; 406,4 mm)</v>
      </c>
      <c r="C8681">
        <v>663368</v>
      </c>
      <c r="D8681">
        <v>730</v>
      </c>
    </row>
    <row r="8682" spans="1:4" x14ac:dyDescent="0.25">
      <c r="A8682" t="str">
        <f>T("   730799")</f>
        <v xml:space="preserve">   730799</v>
      </c>
      <c r="B8682" t="str">
        <f>T("   Accessoires de tuyauterie, en fer ou aciers (autres que moulés ou en aciers inoxydables; sauf brides; coudes, courbes et manchons, filetés et sauf accessoires à souder bout à bout)")</f>
        <v xml:space="preserve">   Accessoires de tuyauterie, en fer ou aciers (autres que moulés ou en aciers inoxydables; sauf brides; coudes, courbes et manchons, filetés et sauf accessoires à souder bout à bout)</v>
      </c>
      <c r="C8682">
        <v>25920</v>
      </c>
      <c r="D8682">
        <v>100</v>
      </c>
    </row>
    <row r="8683" spans="1:4" x14ac:dyDescent="0.25">
      <c r="A8683" t="str">
        <f>T("   730820")</f>
        <v xml:space="preserve">   730820</v>
      </c>
      <c r="B8683" t="str">
        <f>T("   Tours et pylônes, en fer ou en acier")</f>
        <v xml:space="preserve">   Tours et pylônes, en fer ou en acier</v>
      </c>
      <c r="C8683">
        <v>197952612</v>
      </c>
      <c r="D8683">
        <v>95730</v>
      </c>
    </row>
    <row r="8684" spans="1:4" x14ac:dyDescent="0.25">
      <c r="A8684" t="str">
        <f>T("   730830")</f>
        <v xml:space="preserve">   730830</v>
      </c>
      <c r="B8684" t="str">
        <f>T("   Portes, fenêtres et leurs cadres et chambranles ainsi que leurs seuils, en fer ou en acier")</f>
        <v xml:space="preserve">   Portes, fenêtres et leurs cadres et chambranles ainsi que leurs seuils, en fer ou en acier</v>
      </c>
      <c r="C8684">
        <v>120000</v>
      </c>
      <c r="D8684">
        <v>50</v>
      </c>
    </row>
    <row r="8685" spans="1:4" x14ac:dyDescent="0.25">
      <c r="A8685" t="str">
        <f>T("   730890")</f>
        <v xml:space="preserve">   730890</v>
      </c>
      <c r="B8685" t="s">
        <v>355</v>
      </c>
      <c r="C8685">
        <v>813240</v>
      </c>
      <c r="D8685">
        <v>4000</v>
      </c>
    </row>
    <row r="8686" spans="1:4" x14ac:dyDescent="0.25">
      <c r="A8686" t="str">
        <f>T("   731449")</f>
        <v xml:space="preserve">   731449</v>
      </c>
      <c r="B8686" t="str">
        <f>T("   Toiles métalliques nontissées, grillages et treillis, en fils de fer ou d'acier, non soudés aux points de rencontre (sauf zingués ou recouverts de matières plastiques)")</f>
        <v xml:space="preserve">   Toiles métalliques nontissées, grillages et treillis, en fils de fer ou d'acier, non soudés aux points de rencontre (sauf zingués ou recouverts de matières plastiques)</v>
      </c>
      <c r="C8686">
        <v>517224</v>
      </c>
      <c r="D8686">
        <v>2740</v>
      </c>
    </row>
    <row r="8687" spans="1:4" x14ac:dyDescent="0.25">
      <c r="A8687" t="str">
        <f>T("   731815")</f>
        <v xml:space="preserve">   731815</v>
      </c>
      <c r="B8687" t="s">
        <v>359</v>
      </c>
      <c r="C8687">
        <v>56000</v>
      </c>
      <c r="D8687">
        <v>70</v>
      </c>
    </row>
    <row r="8688" spans="1:4" x14ac:dyDescent="0.25">
      <c r="A8688" t="str">
        <f>T("   732111")</f>
        <v xml:space="preserve">   732111</v>
      </c>
      <c r="B8688" t="s">
        <v>361</v>
      </c>
      <c r="C8688">
        <v>5026518</v>
      </c>
      <c r="D8688">
        <v>5685</v>
      </c>
    </row>
    <row r="8689" spans="1:4" x14ac:dyDescent="0.25">
      <c r="A8689" t="str">
        <f>T("   732112")</f>
        <v xml:space="preserve">   732112</v>
      </c>
      <c r="B8689" t="s">
        <v>362</v>
      </c>
      <c r="C8689">
        <v>771160</v>
      </c>
      <c r="D8689">
        <v>2360</v>
      </c>
    </row>
    <row r="8690" spans="1:4" x14ac:dyDescent="0.25">
      <c r="A8690" t="str">
        <f>T("   732181")</f>
        <v xml:space="preserve">   732181</v>
      </c>
      <c r="B8690" t="s">
        <v>363</v>
      </c>
      <c r="C8690">
        <v>8400</v>
      </c>
      <c r="D8690">
        <v>20</v>
      </c>
    </row>
    <row r="8691" spans="1:4" x14ac:dyDescent="0.25">
      <c r="A8691" t="str">
        <f>T("   732394")</f>
        <v xml:space="preserve">   732394</v>
      </c>
      <c r="B8691" t="s">
        <v>367</v>
      </c>
      <c r="C8691">
        <v>14074250</v>
      </c>
      <c r="D8691">
        <v>39648</v>
      </c>
    </row>
    <row r="8692" spans="1:4" x14ac:dyDescent="0.25">
      <c r="A8692" t="str">
        <f>T("   732399")</f>
        <v xml:space="preserve">   732399</v>
      </c>
      <c r="B8692" t="s">
        <v>368</v>
      </c>
      <c r="C8692">
        <v>681400</v>
      </c>
      <c r="D8692">
        <v>1950</v>
      </c>
    </row>
    <row r="8693" spans="1:4" x14ac:dyDescent="0.25">
      <c r="A8693" t="str">
        <f>T("   732690")</f>
        <v xml:space="preserve">   732690</v>
      </c>
      <c r="B8693"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8693">
        <v>40000</v>
      </c>
      <c r="D8693">
        <v>40</v>
      </c>
    </row>
    <row r="8694" spans="1:4" x14ac:dyDescent="0.25">
      <c r="A8694" t="str">
        <f>T("   760410")</f>
        <v xml:space="preserve">   760410</v>
      </c>
      <c r="B8694" t="str">
        <f>T("   BARRES ET PROFILÉS EN ALUMINIUM NON-ALLIÉ, N.D.A.")</f>
        <v xml:space="preserve">   BARRES ET PROFILÉS EN ALUMINIUM NON-ALLIÉ, N.D.A.</v>
      </c>
      <c r="C8694">
        <v>140000</v>
      </c>
      <c r="D8694">
        <v>110</v>
      </c>
    </row>
    <row r="8695" spans="1:4" x14ac:dyDescent="0.25">
      <c r="A8695" t="str">
        <f>T("   760421")</f>
        <v xml:space="preserve">   760421</v>
      </c>
      <c r="B8695" t="str">
        <f>T("   Profilés creux en alliages d'aluminium, n.d.a.")</f>
        <v xml:space="preserve">   Profilés creux en alliages d'aluminium, n.d.a.</v>
      </c>
      <c r="C8695">
        <v>250000</v>
      </c>
      <c r="D8695">
        <v>200</v>
      </c>
    </row>
    <row r="8696" spans="1:4" x14ac:dyDescent="0.25">
      <c r="A8696" t="str">
        <f>T("   760429")</f>
        <v xml:space="preserve">   760429</v>
      </c>
      <c r="B8696" t="str">
        <f>T("   Barres et profilés pleins en alliages d'aluminium, n.d.a.")</f>
        <v xml:space="preserve">   Barres et profilés pleins en alliages d'aluminium, n.d.a.</v>
      </c>
      <c r="C8696">
        <v>4677462</v>
      </c>
      <c r="D8696">
        <v>3118</v>
      </c>
    </row>
    <row r="8697" spans="1:4" x14ac:dyDescent="0.25">
      <c r="A8697" t="str">
        <f>T("   760611")</f>
        <v xml:space="preserve">   760611</v>
      </c>
      <c r="B8697" t="str">
        <f>T("   TÔLES ET BANDES EN ALUMINIUM NON-ALLIÉ, D'UNE ÉPAISSEUR &gt; 0,2 MM, DE FORME CARRÉE OU RECTANGULAIRE (SAUF TÔLES ET BANDES DÉPLOYÉES)")</f>
        <v xml:space="preserve">   TÔLES ET BANDES EN ALUMINIUM NON-ALLIÉ, D'UNE ÉPAISSEUR &gt; 0,2 MM, DE FORME CARRÉE OU RECTANGULAIRE (SAUF TÔLES ET BANDES DÉPLOYÉES)</v>
      </c>
      <c r="C8697">
        <v>23566164</v>
      </c>
      <c r="D8697">
        <v>18099</v>
      </c>
    </row>
    <row r="8698" spans="1:4" x14ac:dyDescent="0.25">
      <c r="A8698" t="str">
        <f>T("   760612")</f>
        <v xml:space="preserve">   760612</v>
      </c>
      <c r="B8698" t="str">
        <f>T("   Tôles et bandes en alliages d'aluminium, d'une épaisseur &gt; 0,2 mm, de forme carrée ou rectangulaire (sauf tôles et bandes déployées)")</f>
        <v xml:space="preserve">   Tôles et bandes en alliages d'aluminium, d'une épaisseur &gt; 0,2 mm, de forme carrée ou rectangulaire (sauf tôles et bandes déployées)</v>
      </c>
      <c r="C8698">
        <v>33718731</v>
      </c>
      <c r="D8698">
        <v>22702</v>
      </c>
    </row>
    <row r="8699" spans="1:4" x14ac:dyDescent="0.25">
      <c r="A8699" t="str">
        <f>T("   760719")</f>
        <v xml:space="preserve">   760719</v>
      </c>
      <c r="B8699" t="str">
        <f>T("   Feuilles et bandes minces d'aluminium, sans support, laminées et autrement traitées, d'une épaisseur &lt;= 0,2 mm (sauf feuilles pour le marquage au fer du n° 3212 et sauf feuilles travaillées pour la décoration des sapins de Noël)")</f>
        <v xml:space="preserve">   Feuilles et bandes minces d'aluminium, sans support, laminées et autrement traitées, d'une épaisseur &lt;= 0,2 mm (sauf feuilles pour le marquage au fer du n° 3212 et sauf feuilles travaillées pour la décoration des sapins de Noël)</v>
      </c>
      <c r="C8699">
        <v>245000</v>
      </c>
      <c r="D8699">
        <v>400</v>
      </c>
    </row>
    <row r="8700" spans="1:4" x14ac:dyDescent="0.25">
      <c r="A8700" t="str">
        <f>T("   761010")</f>
        <v xml:space="preserve">   761010</v>
      </c>
      <c r="B8700" t="str">
        <f>T("   Portes, fenêtres et leurs cadres, chambranles et seuils, en aluminium (sauf pièces de garnissage)")</f>
        <v xml:space="preserve">   Portes, fenêtres et leurs cadres, chambranles et seuils, en aluminium (sauf pièces de garnissage)</v>
      </c>
      <c r="C8700">
        <v>879904</v>
      </c>
      <c r="D8700">
        <v>200</v>
      </c>
    </row>
    <row r="8701" spans="1:4" x14ac:dyDescent="0.25">
      <c r="A8701" t="str">
        <f>T("   761290")</f>
        <v xml:space="preserve">   761290</v>
      </c>
      <c r="B8701" t="str">
        <f>T("   Réservoirs, fûts, tambours, bidons, boîtes et récipients simil., en aluminium, y.c. les étuis tubulaires rigides, pour toutes matières, sauf gaz comprimés ou liquéfiés, d'une contenance &lt;= 300 l, n.d.a.")</f>
        <v xml:space="preserve">   Réservoirs, fûts, tambours, bidons, boîtes et récipients simil., en aluminium, y.c. les étuis tubulaires rigides, pour toutes matières, sauf gaz comprimés ou liquéfiés, d'une contenance &lt;= 300 l, n.d.a.</v>
      </c>
      <c r="C8701">
        <v>20000</v>
      </c>
      <c r="D8701">
        <v>50</v>
      </c>
    </row>
    <row r="8702" spans="1:4" x14ac:dyDescent="0.25">
      <c r="A8702" t="str">
        <f>T("   761610")</f>
        <v xml:space="preserve">   761610</v>
      </c>
      <c r="B8702" t="s">
        <v>374</v>
      </c>
      <c r="C8702">
        <v>894600</v>
      </c>
      <c r="D8702">
        <v>1102</v>
      </c>
    </row>
    <row r="8703" spans="1:4" x14ac:dyDescent="0.25">
      <c r="A8703" t="str">
        <f>T("   820210")</f>
        <v xml:space="preserve">   820210</v>
      </c>
      <c r="B8703" t="str">
        <f>T("   Scies à main, avec partie travaillante en métaux communs (à l'excl. des tronçonneuses)")</f>
        <v xml:space="preserve">   Scies à main, avec partie travaillante en métaux communs (à l'excl. des tronçonneuses)</v>
      </c>
      <c r="C8703">
        <v>13500</v>
      </c>
      <c r="D8703">
        <v>40</v>
      </c>
    </row>
    <row r="8704" spans="1:4" x14ac:dyDescent="0.25">
      <c r="A8704" t="str">
        <f>T("   820220")</f>
        <v xml:space="preserve">   820220</v>
      </c>
      <c r="B8704" t="str">
        <f>T("   Lames de scies à ruban en métaux communs")</f>
        <v xml:space="preserve">   Lames de scies à ruban en métaux communs</v>
      </c>
      <c r="C8704">
        <v>269024</v>
      </c>
      <c r="D8704">
        <v>200</v>
      </c>
    </row>
    <row r="8705" spans="1:4" x14ac:dyDescent="0.25">
      <c r="A8705" t="str">
        <f>T("   820239")</f>
        <v xml:space="preserve">   820239</v>
      </c>
      <c r="B8705" t="str">
        <f>T("   Lames de scies circulaires, y.c. les lames de fraises-scies, et leurs parties, en métaux communs et avec partie travaillante en matières autres que l'acier")</f>
        <v xml:space="preserve">   Lames de scies circulaires, y.c. les lames de fraises-scies, et leurs parties, en métaux communs et avec partie travaillante en matières autres que l'acier</v>
      </c>
      <c r="C8705">
        <v>143045710</v>
      </c>
      <c r="D8705">
        <v>262268</v>
      </c>
    </row>
    <row r="8706" spans="1:4" x14ac:dyDescent="0.25">
      <c r="A8706" t="str">
        <f>T("   820530")</f>
        <v xml:space="preserve">   820530</v>
      </c>
      <c r="B8706" t="str">
        <f>T("   Rabots, ciseaux, gouges et outils tranchants simil. à main pour le travail du bois")</f>
        <v xml:space="preserve">   Rabots, ciseaux, gouges et outils tranchants simil. à main pour le travail du bois</v>
      </c>
      <c r="C8706">
        <v>17500</v>
      </c>
      <c r="D8706">
        <v>50</v>
      </c>
    </row>
    <row r="8707" spans="1:4" x14ac:dyDescent="0.25">
      <c r="A8707" t="str">
        <f>T("   820540")</f>
        <v xml:space="preserve">   820540</v>
      </c>
      <c r="B8707" t="str">
        <f>T("   Tournevis à main")</f>
        <v xml:space="preserve">   Tournevis à main</v>
      </c>
      <c r="C8707">
        <v>214954</v>
      </c>
      <c r="D8707">
        <v>63</v>
      </c>
    </row>
    <row r="8708" spans="1:4" x14ac:dyDescent="0.25">
      <c r="A8708" t="str">
        <f>T("   820551")</f>
        <v xml:space="preserve">   820551</v>
      </c>
      <c r="B8708" t="str">
        <f>T("   Outils à main d'économie domestique, non mécaniques, avec partie travaillante en métaux communs, n.d.a.")</f>
        <v xml:space="preserve">   Outils à main d'économie domestique, non mécaniques, avec partie travaillante en métaux communs, n.d.a.</v>
      </c>
      <c r="C8708">
        <v>12500</v>
      </c>
      <c r="D8708">
        <v>20</v>
      </c>
    </row>
    <row r="8709" spans="1:4" x14ac:dyDescent="0.25">
      <c r="A8709" t="str">
        <f>T("   820559")</f>
        <v xml:space="preserve">   820559</v>
      </c>
      <c r="B8709" t="str">
        <f>T("   Outils à main, y.c. -les diamants de vitrier-, en métaux communs, n.d.a.")</f>
        <v xml:space="preserve">   Outils à main, y.c. -les diamants de vitrier-, en métaux communs, n.d.a.</v>
      </c>
      <c r="C8709">
        <v>13169372</v>
      </c>
      <c r="D8709">
        <v>12115</v>
      </c>
    </row>
    <row r="8710" spans="1:4" x14ac:dyDescent="0.25">
      <c r="A8710" t="str">
        <f>T("   821000")</f>
        <v xml:space="preserve">   821000</v>
      </c>
      <c r="B8710" t="s">
        <v>378</v>
      </c>
      <c r="C8710">
        <v>12150</v>
      </c>
      <c r="D8710">
        <v>400</v>
      </c>
    </row>
    <row r="8711" spans="1:4" x14ac:dyDescent="0.25">
      <c r="A8711" t="str">
        <f>T("   821195")</f>
        <v xml:space="preserve">   821195</v>
      </c>
      <c r="B8711" t="str">
        <f>T("   Manches en métaux communs pour couteaux de table, couteaux de poche -canifs-, et autres couteaux du n° 8211")</f>
        <v xml:space="preserve">   Manches en métaux communs pour couteaux de table, couteaux de poche -canifs-, et autres couteaux du n° 8211</v>
      </c>
      <c r="C8711">
        <v>136000</v>
      </c>
      <c r="D8711">
        <v>30</v>
      </c>
    </row>
    <row r="8712" spans="1:4" x14ac:dyDescent="0.25">
      <c r="A8712" t="str">
        <f>T("   821210")</f>
        <v xml:space="preserve">   821210</v>
      </c>
      <c r="B8712" t="str">
        <f>T("   Rasoirs et rasoirs de sûreté non-électriques, en métaux communs")</f>
        <v xml:space="preserve">   Rasoirs et rasoirs de sûreté non-électriques, en métaux communs</v>
      </c>
      <c r="C8712">
        <v>178500</v>
      </c>
      <c r="D8712">
        <v>68</v>
      </c>
    </row>
    <row r="8713" spans="1:4" x14ac:dyDescent="0.25">
      <c r="A8713" t="str">
        <f>T("   821300")</f>
        <v xml:space="preserve">   821300</v>
      </c>
      <c r="B8713" t="str">
        <f>T("   Ciseaux à doubles branches et leurs lames, en métaux communs (sauf taille-haies, cisailles et articles simil. actionnés des deux mains, sécateurs et articles simil. actionnés d'une main et sauf ciseaux spéciaux de maréchal-ferrant)")</f>
        <v xml:space="preserve">   Ciseaux à doubles branches et leurs lames, en métaux communs (sauf taille-haies, cisailles et articles simil. actionnés des deux mains, sécateurs et articles simil. actionnés d'une main et sauf ciseaux spéciaux de maréchal-ferrant)</v>
      </c>
      <c r="C8713">
        <v>15000</v>
      </c>
      <c r="D8713">
        <v>20</v>
      </c>
    </row>
    <row r="8714" spans="1:4" x14ac:dyDescent="0.25">
      <c r="A8714" t="str">
        <f>T("   821490")</f>
        <v xml:space="preserve">   821490</v>
      </c>
      <c r="B8714" t="str">
        <f>T("   Tondeuses de coiffeur et autres articles à couper, n.d.a., en métaux communs")</f>
        <v xml:space="preserve">   Tondeuses de coiffeur et autres articles à couper, n.d.a., en métaux communs</v>
      </c>
      <c r="C8714">
        <v>1428304</v>
      </c>
      <c r="D8714">
        <v>150</v>
      </c>
    </row>
    <row r="8715" spans="1:4" x14ac:dyDescent="0.25">
      <c r="A8715" t="str">
        <f>T("   821599")</f>
        <v xml:space="preserve">   821599</v>
      </c>
      <c r="B8715" t="s">
        <v>380</v>
      </c>
      <c r="C8715">
        <v>4800</v>
      </c>
      <c r="D8715">
        <v>8</v>
      </c>
    </row>
    <row r="8716" spans="1:4" x14ac:dyDescent="0.25">
      <c r="A8716" t="str">
        <f>T("   830140")</f>
        <v xml:space="preserve">   830140</v>
      </c>
      <c r="B8716" t="str">
        <f>T("   Serrures et verrous, en métaux communs (autres que cadenas et serrures des types utilisés pour véhicules automobiles ou meubles)")</f>
        <v xml:space="preserve">   Serrures et verrous, en métaux communs (autres que cadenas et serrures des types utilisés pour véhicules automobiles ou meubles)</v>
      </c>
      <c r="C8716">
        <v>49286</v>
      </c>
      <c r="D8716">
        <v>45</v>
      </c>
    </row>
    <row r="8717" spans="1:4" x14ac:dyDescent="0.25">
      <c r="A8717" t="str">
        <f>T("   830160")</f>
        <v xml:space="preserve">   830160</v>
      </c>
      <c r="B8717" t="str">
        <f>T("   Parties des cadenas, serrures et verrous, ainsi que des fermoirs et montures-fermoirs, avec serrure, en métaux communs, n.d.a.")</f>
        <v xml:space="preserve">   Parties des cadenas, serrures et verrous, ainsi que des fermoirs et montures-fermoirs, avec serrure, en métaux communs, n.d.a.</v>
      </c>
      <c r="C8717">
        <v>30000</v>
      </c>
      <c r="D8717">
        <v>75</v>
      </c>
    </row>
    <row r="8718" spans="1:4" x14ac:dyDescent="0.25">
      <c r="A8718" t="str">
        <f>T("   830249")</f>
        <v xml:space="preserve">   830249</v>
      </c>
      <c r="B8718" t="s">
        <v>381</v>
      </c>
      <c r="C8718">
        <v>236000</v>
      </c>
      <c r="D8718">
        <v>50</v>
      </c>
    </row>
    <row r="8719" spans="1:4" x14ac:dyDescent="0.25">
      <c r="A8719" t="str">
        <f>T("   830250")</f>
        <v xml:space="preserve">   830250</v>
      </c>
      <c r="B8719" t="str">
        <f>T("   Patères, porte-chapeaux, supports et articles simil. en métaux communs")</f>
        <v xml:space="preserve">   Patères, porte-chapeaux, supports et articles simil. en métaux communs</v>
      </c>
      <c r="C8719">
        <v>125000</v>
      </c>
      <c r="D8719">
        <v>140</v>
      </c>
    </row>
    <row r="8720" spans="1:4" x14ac:dyDescent="0.25">
      <c r="A8720" t="str">
        <f>T("   830300")</f>
        <v xml:space="preserve">   830300</v>
      </c>
      <c r="B8720" t="str">
        <f>T("   Coffres-forts, portes blindées et compartiments pour chambres fortes, coffres et cassettes de sûreté et articles simil., en métaux communs")</f>
        <v xml:space="preserve">   Coffres-forts, portes blindées et compartiments pour chambres fortes, coffres et cassettes de sûreté et articles simil., en métaux communs</v>
      </c>
      <c r="C8720">
        <v>2649600</v>
      </c>
      <c r="D8720">
        <v>1500</v>
      </c>
    </row>
    <row r="8721" spans="1:4" x14ac:dyDescent="0.25">
      <c r="A8721" t="str">
        <f>T("   830990")</f>
        <v xml:space="preserve">   830990</v>
      </c>
      <c r="B8721" t="str">
        <f>T("   Bouchons [y.c. les bouchons à pas de vis et les bouchons-verseurs], couvercles, capsules pour bouteilles, bondes filetées, plaques de bondes, scellés et autres accessoires d'emballage, en métaux communs (à l'excl. des bouchons-couronnes)")</f>
        <v xml:space="preserve">   Bouchons [y.c. les bouchons à pas de vis et les bouchons-verseurs], couvercles, capsules pour bouteilles, bondes filetées, plaques de bondes, scellés et autres accessoires d'emballage, en métaux communs (à l'excl. des bouchons-couronnes)</v>
      </c>
      <c r="C8721">
        <v>1316000</v>
      </c>
      <c r="D8721">
        <v>2838</v>
      </c>
    </row>
    <row r="8722" spans="1:4" x14ac:dyDescent="0.25">
      <c r="A8722" t="str">
        <f>T("   831000")</f>
        <v xml:space="preserve">   831000</v>
      </c>
      <c r="B8722" t="s">
        <v>383</v>
      </c>
      <c r="C8722">
        <v>182114</v>
      </c>
      <c r="D8722">
        <v>100</v>
      </c>
    </row>
    <row r="8723" spans="1:4" x14ac:dyDescent="0.25">
      <c r="A8723" t="str">
        <f>T("   831110")</f>
        <v xml:space="preserve">   831110</v>
      </c>
      <c r="B8723" t="str">
        <f>T("   ÉLECTRODES ENROBÉES EN MÉTAUX COMMUNS, POUR LE SOUDAGE À L'ARC")</f>
        <v xml:space="preserve">   ÉLECTRODES ENROBÉES EN MÉTAUX COMMUNS, POUR LE SOUDAGE À L'ARC</v>
      </c>
      <c r="C8723">
        <v>5602472</v>
      </c>
      <c r="D8723">
        <v>20500</v>
      </c>
    </row>
    <row r="8724" spans="1:4" x14ac:dyDescent="0.25">
      <c r="A8724" t="str">
        <f>T("   831130")</f>
        <v xml:space="preserve">   831130</v>
      </c>
      <c r="B8724" t="s">
        <v>384</v>
      </c>
      <c r="C8724">
        <v>20045453</v>
      </c>
      <c r="D8724">
        <v>70022</v>
      </c>
    </row>
    <row r="8725" spans="1:4" x14ac:dyDescent="0.25">
      <c r="A8725" t="str">
        <f>T("   840220")</f>
        <v xml:space="preserve">   840220</v>
      </c>
      <c r="B8725" t="str">
        <f>T("   Chaudières dites -à eau surchauffée-")</f>
        <v xml:space="preserve">   Chaudières dites -à eau surchauffée-</v>
      </c>
      <c r="C8725">
        <v>320000</v>
      </c>
      <c r="D8725">
        <v>50</v>
      </c>
    </row>
    <row r="8726" spans="1:4" x14ac:dyDescent="0.25">
      <c r="A8726" t="str">
        <f>T("   840721")</f>
        <v xml:space="preserve">   840721</v>
      </c>
      <c r="B8726" t="s">
        <v>387</v>
      </c>
      <c r="C8726">
        <v>3015979</v>
      </c>
      <c r="D8726">
        <v>2960</v>
      </c>
    </row>
    <row r="8727" spans="1:4" x14ac:dyDescent="0.25">
      <c r="A8727" t="str">
        <f>T("   840734")</f>
        <v xml:space="preserve">   840734</v>
      </c>
      <c r="B8727" t="s">
        <v>390</v>
      </c>
      <c r="C8727">
        <v>12722200</v>
      </c>
      <c r="D8727">
        <v>3570</v>
      </c>
    </row>
    <row r="8728" spans="1:4" x14ac:dyDescent="0.25">
      <c r="A8728" t="str">
        <f>T("   840820")</f>
        <v xml:space="preserve">   840820</v>
      </c>
      <c r="B8728" t="s">
        <v>392</v>
      </c>
      <c r="C8728">
        <v>1050000</v>
      </c>
      <c r="D8728">
        <v>100</v>
      </c>
    </row>
    <row r="8729" spans="1:4" x14ac:dyDescent="0.25">
      <c r="A8729" t="str">
        <f>T("   840890")</f>
        <v xml:space="preserve">   840890</v>
      </c>
      <c r="B8729" t="s">
        <v>393</v>
      </c>
      <c r="C8729">
        <v>90000</v>
      </c>
      <c r="D8729">
        <v>30</v>
      </c>
    </row>
    <row r="8730" spans="1:4" x14ac:dyDescent="0.25">
      <c r="A8730" t="str">
        <f>T("   840999")</f>
        <v xml:space="preserve">   840999</v>
      </c>
      <c r="B8730"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8730">
        <v>15000</v>
      </c>
      <c r="D8730">
        <v>5</v>
      </c>
    </row>
    <row r="8731" spans="1:4" x14ac:dyDescent="0.25">
      <c r="A8731" t="str">
        <f>T("   841229")</f>
        <v xml:space="preserve">   841229</v>
      </c>
      <c r="B8731" t="str">
        <f>T("   Moteurs hydrauliques (autres que turbines hydrauliques ou roues hydrauliques du n° 8410, turbines à vapeur et moteurs hydrauliques, à mouvement rectiligne -cylindres-)")</f>
        <v xml:space="preserve">   Moteurs hydrauliques (autres que turbines hydrauliques ou roues hydrauliques du n° 8410, turbines à vapeur et moteurs hydrauliques, à mouvement rectiligne -cylindres-)</v>
      </c>
      <c r="C8731">
        <v>120000</v>
      </c>
      <c r="D8731">
        <v>100</v>
      </c>
    </row>
    <row r="8732" spans="1:4" x14ac:dyDescent="0.25">
      <c r="A8732" t="str">
        <f>T("   841290")</f>
        <v xml:space="preserve">   841290</v>
      </c>
      <c r="B8732" t="str">
        <f>T("   PARTIES DE MOTEURS ET MACHINES MOTRICES NON-ÉLECTRIQUES, N.D.A.")</f>
        <v xml:space="preserve">   PARTIES DE MOTEURS ET MACHINES MOTRICES NON-ÉLECTRIQUES, N.D.A.</v>
      </c>
      <c r="C8732">
        <v>13165827</v>
      </c>
      <c r="D8732">
        <v>10452</v>
      </c>
    </row>
    <row r="8733" spans="1:4" x14ac:dyDescent="0.25">
      <c r="A8733" t="str">
        <f>T("   841319")</f>
        <v xml:space="preserve">   841319</v>
      </c>
      <c r="B8733" t="str">
        <f>T("   Pompes pour liquides, avec dispositif mesureur ou conçues pour en comporter (sauf pompes pour la distribution de carburants ou lubrifiants, des types utilisés dans les stations-service ou les garages)")</f>
        <v xml:space="preserve">   Pompes pour liquides, avec dispositif mesureur ou conçues pour en comporter (sauf pompes pour la distribution de carburants ou lubrifiants, des types utilisés dans les stations-service ou les garages)</v>
      </c>
      <c r="C8733">
        <v>193104</v>
      </c>
      <c r="D8733">
        <v>130</v>
      </c>
    </row>
    <row r="8734" spans="1:4" x14ac:dyDescent="0.25">
      <c r="A8734" t="str">
        <f>T("   841382")</f>
        <v xml:space="preserve">   841382</v>
      </c>
      <c r="B8734" t="str">
        <f>T("   Elévateurs à liquides (à l'excl. des pompes)")</f>
        <v xml:space="preserve">   Elévateurs à liquides (à l'excl. des pompes)</v>
      </c>
      <c r="C8734">
        <v>3325568</v>
      </c>
      <c r="D8734">
        <v>2940</v>
      </c>
    </row>
    <row r="8735" spans="1:4" x14ac:dyDescent="0.25">
      <c r="A8735" t="str">
        <f>T("   841410")</f>
        <v xml:space="preserve">   841410</v>
      </c>
      <c r="B8735" t="str">
        <f>T("   Pompes à vide")</f>
        <v xml:space="preserve">   Pompes à vide</v>
      </c>
      <c r="C8735">
        <v>350000</v>
      </c>
      <c r="D8735">
        <v>200</v>
      </c>
    </row>
    <row r="8736" spans="1:4" x14ac:dyDescent="0.25">
      <c r="A8736" t="str">
        <f>T("   841420")</f>
        <v xml:space="preserve">   841420</v>
      </c>
      <c r="B8736" t="str">
        <f>T("   Pompes à air, à main ou à pied")</f>
        <v xml:space="preserve">   Pompes à air, à main ou à pied</v>
      </c>
      <c r="C8736">
        <v>197537</v>
      </c>
      <c r="D8736">
        <v>50</v>
      </c>
    </row>
    <row r="8737" spans="1:4" x14ac:dyDescent="0.25">
      <c r="A8737" t="str">
        <f>T("   841430")</f>
        <v xml:space="preserve">   841430</v>
      </c>
      <c r="B8737" t="str">
        <f>T("   Compresseurs des types utilisés pour équipements frigorifiques")</f>
        <v xml:space="preserve">   Compresseurs des types utilisés pour équipements frigorifiques</v>
      </c>
      <c r="C8737">
        <v>4910024</v>
      </c>
      <c r="D8737">
        <v>9685</v>
      </c>
    </row>
    <row r="8738" spans="1:4" x14ac:dyDescent="0.25">
      <c r="A8738" t="str">
        <f>T("   841451")</f>
        <v xml:space="preserve">   841451</v>
      </c>
      <c r="B8738" t="str">
        <f>T("   Ventilateurs de table, de sol, muraux, plafonniers, de toitures ou de fenêtres, à moteur électrique incorporé, d'une puissance &lt;= 125 W")</f>
        <v xml:space="preserve">   Ventilateurs de table, de sol, muraux, plafonniers, de toitures ou de fenêtres, à moteur électrique incorporé, d'une puissance &lt;= 125 W</v>
      </c>
      <c r="C8738">
        <v>56801231</v>
      </c>
      <c r="D8738">
        <v>59962</v>
      </c>
    </row>
    <row r="8739" spans="1:4" x14ac:dyDescent="0.25">
      <c r="A8739" t="str">
        <f>T("   841490")</f>
        <v xml:space="preserve">   841490</v>
      </c>
      <c r="B8739" t="str">
        <f>T("   Parties de pompes à air ou à vide, de compresseurs d'air ou d'autres gaz et de ventilateurs, de hottes aspirantes à extraction ou à recyclage, à ventilateur incorporé, n.d.a.")</f>
        <v xml:space="preserve">   Parties de pompes à air ou à vide, de compresseurs d'air ou d'autres gaz et de ventilateurs, de hottes aspirantes à extraction ou à recyclage, à ventilateur incorporé, n.d.a.</v>
      </c>
      <c r="C8739">
        <v>16000</v>
      </c>
      <c r="D8739">
        <v>62</v>
      </c>
    </row>
    <row r="8740" spans="1:4" x14ac:dyDescent="0.25">
      <c r="A8740" t="str">
        <f>T("   841510")</f>
        <v xml:space="preserve">   841510</v>
      </c>
      <c r="B8740" t="s">
        <v>399</v>
      </c>
      <c r="C8740">
        <v>7959902</v>
      </c>
      <c r="D8740">
        <v>3530</v>
      </c>
    </row>
    <row r="8741" spans="1:4" x14ac:dyDescent="0.25">
      <c r="A8741" t="str">
        <f>T("   841590")</f>
        <v xml:space="preserve">   841590</v>
      </c>
      <c r="B8741" t="str">
        <f>T("   Parties de machines et appareils pour le conditionnement de l'air comprenant un ventilateur à moteur et des dispositifs propres à modifier la température et l'humidité de l'air, n.d.a.")</f>
        <v xml:space="preserve">   Parties de machines et appareils pour le conditionnement de l'air comprenant un ventilateur à moteur et des dispositifs propres à modifier la température et l'humidité de l'air, n.d.a.</v>
      </c>
      <c r="C8741">
        <v>175000</v>
      </c>
      <c r="D8741">
        <v>175</v>
      </c>
    </row>
    <row r="8742" spans="1:4" x14ac:dyDescent="0.25">
      <c r="A8742" t="str">
        <f>T("   841821")</f>
        <v xml:space="preserve">   841821</v>
      </c>
      <c r="B8742" t="str">
        <f>T("   Réfrigérateurs ménagers à compression")</f>
        <v xml:space="preserve">   Réfrigérateurs ménagers à compression</v>
      </c>
      <c r="C8742">
        <v>9968171</v>
      </c>
      <c r="D8742">
        <v>11720</v>
      </c>
    </row>
    <row r="8743" spans="1:4" x14ac:dyDescent="0.25">
      <c r="A8743" t="str">
        <f>T("   841829")</f>
        <v xml:space="preserve">   841829</v>
      </c>
      <c r="B8743" t="str">
        <f>T("   Réfrigérateurs ménagers à absorption, non-électriques")</f>
        <v xml:space="preserve">   Réfrigérateurs ménagers à absorption, non-électriques</v>
      </c>
      <c r="C8743">
        <v>1313682</v>
      </c>
      <c r="D8743">
        <v>1330</v>
      </c>
    </row>
    <row r="8744" spans="1:4" x14ac:dyDescent="0.25">
      <c r="A8744" t="str">
        <f>T("   841830")</f>
        <v xml:space="preserve">   841830</v>
      </c>
      <c r="B8744" t="str">
        <f>T("   Meubles congélateurs-conservateurs du type coffre, capacité &lt;= 800 l")</f>
        <v xml:space="preserve">   Meubles congélateurs-conservateurs du type coffre, capacité &lt;= 800 l</v>
      </c>
      <c r="C8744">
        <v>160000</v>
      </c>
      <c r="D8744">
        <v>200</v>
      </c>
    </row>
    <row r="8745" spans="1:4" x14ac:dyDescent="0.25">
      <c r="A8745" t="str">
        <f>T("   841850")</f>
        <v xml:space="preserve">   841850</v>
      </c>
      <c r="B8745" t="s">
        <v>404</v>
      </c>
      <c r="C8745">
        <v>175500</v>
      </c>
      <c r="D8745">
        <v>60</v>
      </c>
    </row>
    <row r="8746" spans="1:4" x14ac:dyDescent="0.25">
      <c r="A8746" t="str">
        <f>T("   841899")</f>
        <v xml:space="preserve">   841899</v>
      </c>
      <c r="B8746" t="str">
        <f>T("   Parties de réfrigérateurs et de congélateurs-conservateurs du type armoire et du type coffre et d'autres matériel, machines et appareils pour la production du froid, parties de pompes à chaleur, n.d.a.")</f>
        <v xml:space="preserve">   Parties de réfrigérateurs et de congélateurs-conservateurs du type armoire et du type coffre et d'autres matériel, machines et appareils pour la production du froid, parties de pompes à chaleur, n.d.a.</v>
      </c>
      <c r="C8746">
        <v>14511339</v>
      </c>
      <c r="D8746">
        <v>14631</v>
      </c>
    </row>
    <row r="8747" spans="1:4" x14ac:dyDescent="0.25">
      <c r="A8747" t="str">
        <f>T("   842121")</f>
        <v xml:space="preserve">   842121</v>
      </c>
      <c r="B8747" t="str">
        <f>T("   Appareils pour la filtration ou l'épuration des eaux")</f>
        <v xml:space="preserve">   Appareils pour la filtration ou l'épuration des eaux</v>
      </c>
      <c r="C8747">
        <v>172220</v>
      </c>
      <c r="D8747">
        <v>170</v>
      </c>
    </row>
    <row r="8748" spans="1:4" x14ac:dyDescent="0.25">
      <c r="A8748" t="str">
        <f>T("   842123")</f>
        <v xml:space="preserve">   842123</v>
      </c>
      <c r="B8748" t="str">
        <f>T("   Appareils pour la filtration des huiles minérales et carburants pour les moteurs à allumage par étincelles ou par compression")</f>
        <v xml:space="preserve">   Appareils pour la filtration des huiles minérales et carburants pour les moteurs à allumage par étincelles ou par compression</v>
      </c>
      <c r="C8748">
        <v>568000</v>
      </c>
      <c r="D8748">
        <v>95</v>
      </c>
    </row>
    <row r="8749" spans="1:4" x14ac:dyDescent="0.25">
      <c r="A8749" t="str">
        <f>T("   842131")</f>
        <v xml:space="preserve">   842131</v>
      </c>
      <c r="B8749" t="str">
        <f>T("   Filtres d'entrée d'air pour moteurs à allumage par étincelles ou par compression")</f>
        <v xml:space="preserve">   Filtres d'entrée d'air pour moteurs à allumage par étincelles ou par compression</v>
      </c>
      <c r="C8749">
        <v>582000</v>
      </c>
      <c r="D8749">
        <v>162</v>
      </c>
    </row>
    <row r="8750" spans="1:4" x14ac:dyDescent="0.25">
      <c r="A8750" t="str">
        <f>T("   842139")</f>
        <v xml:space="preserve">   842139</v>
      </c>
      <c r="B8750" t="str">
        <f>T("   Appareils pour la filtration ou l'épuration des gaz (autres que pour la séparation isotopique et sauf les filtres d'entrée d'air pour moteurs à allumage par étincelles ou par compression)")</f>
        <v xml:space="preserve">   Appareils pour la filtration ou l'épuration des gaz (autres que pour la séparation isotopique et sauf les filtres d'entrée d'air pour moteurs à allumage par étincelles ou par compression)</v>
      </c>
      <c r="C8750">
        <v>360000</v>
      </c>
      <c r="D8750">
        <v>50</v>
      </c>
    </row>
    <row r="8751" spans="1:4" x14ac:dyDescent="0.25">
      <c r="A8751" t="str">
        <f>T("   842230")</f>
        <v xml:space="preserve">   842230</v>
      </c>
      <c r="B8751" t="str">
        <f>T("   Machines et appareils à remplir, fermer, boucher ou étiqueter les bouteilles, boîtes, sacs ou autres contenants; machines et appareils à capsuler les bouteilles, pots, tubes et contenants analogues; appareils à gazéifier les boissons")</f>
        <v xml:space="preserve">   Machines et appareils à remplir, fermer, boucher ou étiqueter les bouteilles, boîtes, sacs ou autres contenants; machines et appareils à capsuler les bouteilles, pots, tubes et contenants analogues; appareils à gazéifier les boissons</v>
      </c>
      <c r="C8751">
        <v>2550000</v>
      </c>
      <c r="D8751">
        <v>1110</v>
      </c>
    </row>
    <row r="8752" spans="1:4" x14ac:dyDescent="0.25">
      <c r="A8752" t="str">
        <f>T("   842240")</f>
        <v xml:space="preserve">   842240</v>
      </c>
      <c r="B8752" t="s">
        <v>406</v>
      </c>
      <c r="C8752">
        <v>5715995</v>
      </c>
      <c r="D8752">
        <v>2835</v>
      </c>
    </row>
    <row r="8753" spans="1:4" x14ac:dyDescent="0.25">
      <c r="A8753" t="str">
        <f>T("   842310")</f>
        <v xml:space="preserve">   842310</v>
      </c>
      <c r="B8753" t="str">
        <f>T("   Pèse-personnes, y.c. les pèse-bébés; balances de ménage")</f>
        <v xml:space="preserve">   Pèse-personnes, y.c. les pèse-bébés; balances de ménage</v>
      </c>
      <c r="C8753">
        <v>51000</v>
      </c>
      <c r="D8753">
        <v>20</v>
      </c>
    </row>
    <row r="8754" spans="1:4" x14ac:dyDescent="0.25">
      <c r="A8754" t="str">
        <f>T("   842381")</f>
        <v xml:space="preserve">   842381</v>
      </c>
      <c r="B8754" t="s">
        <v>407</v>
      </c>
      <c r="C8754">
        <v>2074591</v>
      </c>
      <c r="D8754">
        <v>1177</v>
      </c>
    </row>
    <row r="8755" spans="1:4" x14ac:dyDescent="0.25">
      <c r="A8755" t="str">
        <f>T("   842410")</f>
        <v xml:space="preserve">   842410</v>
      </c>
      <c r="B8755" t="str">
        <f>T("   Extincteurs mécaniques, même chargés (sauf bombes et grenades d'extinction d'incendie)")</f>
        <v xml:space="preserve">   Extincteurs mécaniques, même chargés (sauf bombes et grenades d'extinction d'incendie)</v>
      </c>
      <c r="C8755">
        <v>118020</v>
      </c>
      <c r="D8755">
        <v>237</v>
      </c>
    </row>
    <row r="8756" spans="1:4" x14ac:dyDescent="0.25">
      <c r="A8756" t="str">
        <f>T("   842481")</f>
        <v xml:space="preserve">   842481</v>
      </c>
      <c r="B8756" t="str">
        <f>T("   Machines et appareils mécaniques, même à main, à projeter, disperser ou pulvériser des matières liquides ou en poudre, pour l'agriculture ou l'horticulture")</f>
        <v xml:space="preserve">   Machines et appareils mécaniques, même à main, à projeter, disperser ou pulvériser des matières liquides ou en poudre, pour l'agriculture ou l'horticulture</v>
      </c>
      <c r="C8756">
        <v>72000</v>
      </c>
      <c r="D8756">
        <v>50</v>
      </c>
    </row>
    <row r="8757" spans="1:4" x14ac:dyDescent="0.25">
      <c r="A8757" t="str">
        <f>T("   842820")</f>
        <v xml:space="preserve">   842820</v>
      </c>
      <c r="B8757" t="str">
        <f>T("   Appareils élévateurs ou transporteurs, pneumatiques")</f>
        <v xml:space="preserve">   Appareils élévateurs ou transporteurs, pneumatiques</v>
      </c>
      <c r="C8757">
        <v>1393200</v>
      </c>
      <c r="D8757">
        <v>5000</v>
      </c>
    </row>
    <row r="8758" spans="1:4" x14ac:dyDescent="0.25">
      <c r="A8758" t="str">
        <f>T("   842890")</f>
        <v xml:space="preserve">   842890</v>
      </c>
      <c r="B8758" t="str">
        <f>T("   Machines et appareils de levage, chargement, déchargement ou manutention, n.d.a.")</f>
        <v xml:space="preserve">   Machines et appareils de levage, chargement, déchargement ou manutention, n.d.a.</v>
      </c>
      <c r="C8758">
        <v>2634028</v>
      </c>
      <c r="D8758">
        <v>22000</v>
      </c>
    </row>
    <row r="8759" spans="1:4" x14ac:dyDescent="0.25">
      <c r="A8759" t="str">
        <f>T("   842911")</f>
        <v xml:space="preserve">   842911</v>
      </c>
      <c r="B8759" t="str">
        <f>T("   Bouteurs 'bulldozers' et bouteurs biais 'angledozers', à chenilles")</f>
        <v xml:space="preserve">   Bouteurs 'bulldozers' et bouteurs biais 'angledozers', à chenilles</v>
      </c>
      <c r="C8759">
        <v>20132700</v>
      </c>
      <c r="D8759">
        <v>97000</v>
      </c>
    </row>
    <row r="8760" spans="1:4" x14ac:dyDescent="0.25">
      <c r="A8760" t="str">
        <f>T("   843069")</f>
        <v xml:space="preserve">   843069</v>
      </c>
      <c r="B8760" t="str">
        <f>T("   Machines et appareils de terrassement, nivellement, décapage, excavation, compactage, extraction ou forage de la terre, des minéraux ou des minerais, non autopropulsés, n.d.a.")</f>
        <v xml:space="preserve">   Machines et appareils de terrassement, nivellement, décapage, excavation, compactage, extraction ou forage de la terre, des minéraux ou des minerais, non autopropulsés, n.d.a.</v>
      </c>
      <c r="C8760">
        <v>28361223</v>
      </c>
      <c r="D8760">
        <v>65261</v>
      </c>
    </row>
    <row r="8761" spans="1:4" x14ac:dyDescent="0.25">
      <c r="A8761" t="str">
        <f>T("   843143")</f>
        <v xml:space="preserve">   843143</v>
      </c>
      <c r="B8761" t="str">
        <f>T("   Parties de machines de sondage ou de forage du n° 8430.41 ou 8430.49, n.d.a.")</f>
        <v xml:space="preserve">   Parties de machines de sondage ou de forage du n° 8430.41 ou 8430.49, n.d.a.</v>
      </c>
      <c r="C8761">
        <v>3834800</v>
      </c>
      <c r="D8761">
        <v>7000</v>
      </c>
    </row>
    <row r="8762" spans="1:4" x14ac:dyDescent="0.25">
      <c r="A8762" t="str">
        <f>T("   843780")</f>
        <v xml:space="preserve">   843780</v>
      </c>
      <c r="B8762" t="s">
        <v>418</v>
      </c>
      <c r="C8762">
        <v>9544750</v>
      </c>
      <c r="D8762">
        <v>3516</v>
      </c>
    </row>
    <row r="8763" spans="1:4" x14ac:dyDescent="0.25">
      <c r="A8763" t="str">
        <f>T("   843790")</f>
        <v xml:space="preserve">   843790</v>
      </c>
      <c r="B8763" t="str">
        <f>T("   Parties de machines et appareils de minoterie ou pour le traitement des céréales ou légumes secs ou pour le nettoyage, le triage ou le criblage des grains ou des légumes secs, n.d.a.")</f>
        <v xml:space="preserve">   Parties de machines et appareils de minoterie ou pour le traitement des céréales ou légumes secs ou pour le nettoyage, le triage ou le criblage des grains ou des légumes secs, n.d.a.</v>
      </c>
      <c r="C8763">
        <v>19755259</v>
      </c>
      <c r="D8763">
        <v>30136</v>
      </c>
    </row>
    <row r="8764" spans="1:4" x14ac:dyDescent="0.25">
      <c r="A8764" t="str">
        <f>T("   844010")</f>
        <v xml:space="preserve">   844010</v>
      </c>
      <c r="B8764" t="s">
        <v>421</v>
      </c>
      <c r="C8764">
        <v>576000</v>
      </c>
      <c r="D8764">
        <v>500</v>
      </c>
    </row>
    <row r="8765" spans="1:4" x14ac:dyDescent="0.25">
      <c r="A8765" t="str">
        <f>T("   844180")</f>
        <v xml:space="preserve">   844180</v>
      </c>
      <c r="B8765" t="str">
        <f>T("   Machines et appareils pour le travail de la pâte à papier, du papier ou du carton, n.d.a.")</f>
        <v xml:space="preserve">   Machines et appareils pour le travail de la pâte à papier, du papier ou du carton, n.d.a.</v>
      </c>
      <c r="C8765">
        <v>373277</v>
      </c>
      <c r="D8765">
        <v>310</v>
      </c>
    </row>
    <row r="8766" spans="1:4" x14ac:dyDescent="0.25">
      <c r="A8766" t="str">
        <f>T("   844390")</f>
        <v xml:space="preserve">   844390</v>
      </c>
      <c r="B8766" t="str">
        <f>T("   Parties de machines et appareils à imprimer et de leur machines et appareils auxiliaires, n.d.a.")</f>
        <v xml:space="preserve">   Parties de machines et appareils à imprimer et de leur machines et appareils auxiliaires, n.d.a.</v>
      </c>
      <c r="C8766">
        <v>25000</v>
      </c>
      <c r="D8766">
        <v>10</v>
      </c>
    </row>
    <row r="8767" spans="1:4" x14ac:dyDescent="0.25">
      <c r="A8767" t="str">
        <f>T("   844790")</f>
        <v xml:space="preserve">   844790</v>
      </c>
      <c r="B8767" t="str">
        <f>T("   Machines et métiers à guipure, à tulle, à dentelle, à broderie, à passementerie, à tresses, à filet ou à touffeter (sauf couso-brodeurs)")</f>
        <v xml:space="preserve">   Machines et métiers à guipure, à tulle, à dentelle, à broderie, à passementerie, à tresses, à filet ou à touffeter (sauf couso-brodeurs)</v>
      </c>
      <c r="C8767">
        <v>15000</v>
      </c>
      <c r="D8767">
        <v>50</v>
      </c>
    </row>
    <row r="8768" spans="1:4" x14ac:dyDescent="0.25">
      <c r="A8768" t="str">
        <f>T("   845020")</f>
        <v xml:space="preserve">   845020</v>
      </c>
      <c r="B8768" t="str">
        <f>T("   Machines à laver le linge, capacité unitaire en poids de linge sec &gt; 10 kg")</f>
        <v xml:space="preserve">   Machines à laver le linge, capacité unitaire en poids de linge sec &gt; 10 kg</v>
      </c>
      <c r="C8768">
        <v>720000</v>
      </c>
      <c r="D8768">
        <v>200</v>
      </c>
    </row>
    <row r="8769" spans="1:4" x14ac:dyDescent="0.25">
      <c r="A8769" t="str">
        <f>T("   845140")</f>
        <v xml:space="preserve">   845140</v>
      </c>
      <c r="B8769" t="str">
        <f>T("   Machines et appareils pour le lavage, le blanchiment ou la teinture de fils, tissus ou autres ouvrages en matières textiles (sauf machines à laver le linge)")</f>
        <v xml:space="preserve">   Machines et appareils pour le lavage, le blanchiment ou la teinture de fils, tissus ou autres ouvrages en matières textiles (sauf machines à laver le linge)</v>
      </c>
      <c r="C8769">
        <v>226800</v>
      </c>
      <c r="D8769">
        <v>300</v>
      </c>
    </row>
    <row r="8770" spans="1:4" x14ac:dyDescent="0.25">
      <c r="A8770" t="str">
        <f>T("   845150")</f>
        <v xml:space="preserve">   845150</v>
      </c>
      <c r="B8770" t="str">
        <f>T("   Machines et appareils à enrouler, dérouler, plier, couper ou denteler les tissus")</f>
        <v xml:space="preserve">   Machines et appareils à enrouler, dérouler, plier, couper ou denteler les tissus</v>
      </c>
      <c r="C8770">
        <v>120000</v>
      </c>
      <c r="D8770">
        <v>200</v>
      </c>
    </row>
    <row r="8771" spans="1:4" x14ac:dyDescent="0.25">
      <c r="A8771" t="str">
        <f>T("   845210")</f>
        <v xml:space="preserve">   845210</v>
      </c>
      <c r="B8771" t="str">
        <f>T("   Machines à coudre de type ménager")</f>
        <v xml:space="preserve">   Machines à coudre de type ménager</v>
      </c>
      <c r="C8771">
        <v>1873355</v>
      </c>
      <c r="D8771">
        <v>4048</v>
      </c>
    </row>
    <row r="8772" spans="1:4" x14ac:dyDescent="0.25">
      <c r="A8772" t="str">
        <f>T("   845290")</f>
        <v xml:space="preserve">   845290</v>
      </c>
      <c r="B8772" t="str">
        <f>T("   Parties de machines à coudre, n.d.a.")</f>
        <v xml:space="preserve">   Parties de machines à coudre, n.d.a.</v>
      </c>
      <c r="C8772">
        <v>53600</v>
      </c>
      <c r="D8772">
        <v>51</v>
      </c>
    </row>
    <row r="8773" spans="1:4" x14ac:dyDescent="0.25">
      <c r="A8773" t="str">
        <f>T("   845819")</f>
        <v xml:space="preserve">   845819</v>
      </c>
      <c r="B8773" t="str">
        <f>T("   Tours horizontaux, y.c. les centres de tournage, travaillant par enlèvement de métal (autres qu'à commande numérique)")</f>
        <v xml:space="preserve">   Tours horizontaux, y.c. les centres de tournage, travaillant par enlèvement de métal (autres qu'à commande numérique)</v>
      </c>
      <c r="C8773">
        <v>1677725</v>
      </c>
      <c r="D8773">
        <v>5000</v>
      </c>
    </row>
    <row r="8774" spans="1:4" x14ac:dyDescent="0.25">
      <c r="A8774" t="str">
        <f>T("   846410")</f>
        <v xml:space="preserve">   846410</v>
      </c>
      <c r="B8774" t="str">
        <f>T("   Machines à scier pour le travail de la pierre, des produits céramiques, du béton, de l'amiante-ciment ou de matières minérales simil., ou pour le travail à froid du verre (à l'excl. des machines pour emploi à la main)")</f>
        <v xml:space="preserve">   Machines à scier pour le travail de la pierre, des produits céramiques, du béton, de l'amiante-ciment ou de matières minérales simil., ou pour le travail à froid du verre (à l'excl. des machines pour emploi à la main)</v>
      </c>
      <c r="C8774">
        <v>120770</v>
      </c>
      <c r="D8774">
        <v>100</v>
      </c>
    </row>
    <row r="8775" spans="1:4" x14ac:dyDescent="0.25">
      <c r="A8775" t="str">
        <f>T("   846490")</f>
        <v xml:space="preserve">   846490</v>
      </c>
      <c r="B8775" t="s">
        <v>431</v>
      </c>
      <c r="C8775">
        <v>781200</v>
      </c>
      <c r="D8775">
        <v>250</v>
      </c>
    </row>
    <row r="8776" spans="1:4" x14ac:dyDescent="0.25">
      <c r="A8776" t="str">
        <f>T("   846599")</f>
        <v xml:space="preserve">   846599</v>
      </c>
      <c r="B8776" t="s">
        <v>434</v>
      </c>
      <c r="C8776">
        <v>30000</v>
      </c>
      <c r="D8776">
        <v>20</v>
      </c>
    </row>
    <row r="8777" spans="1:4" x14ac:dyDescent="0.25">
      <c r="A8777" t="str">
        <f>T("   847110")</f>
        <v xml:space="preserve">   847110</v>
      </c>
      <c r="B8777" t="str">
        <f>T("   Machines automatiques de traitement de l'information, analogiques ou hybrides")</f>
        <v xml:space="preserve">   Machines automatiques de traitement de l'information, analogiques ou hybrides</v>
      </c>
      <c r="C8777">
        <v>22863558</v>
      </c>
      <c r="D8777">
        <v>7782</v>
      </c>
    </row>
    <row r="8778" spans="1:4" x14ac:dyDescent="0.25">
      <c r="A8778" t="str">
        <f>T("   847130")</f>
        <v xml:space="preserve">   847130</v>
      </c>
      <c r="B8778" t="str">
        <f>T("   Machines automatiques de traitement de l'information numériques, portatives, d'un poids &lt;= 10 kg, comportant au moins une unité centrale de traitement, un clavier et un écran (à l'excl. des unités périphériques)")</f>
        <v xml:space="preserve">   Machines automatiques de traitement de l'information numériques, portatives, d'un poids &lt;= 10 kg, comportant au moins une unité centrale de traitement, un clavier et un écran (à l'excl. des unités périphériques)</v>
      </c>
      <c r="C8778">
        <v>560000</v>
      </c>
      <c r="D8778">
        <v>40</v>
      </c>
    </row>
    <row r="8779" spans="1:4" x14ac:dyDescent="0.25">
      <c r="A8779" t="str">
        <f>T("   847149")</f>
        <v xml:space="preserve">   847149</v>
      </c>
      <c r="B8779" t="s">
        <v>437</v>
      </c>
      <c r="C8779">
        <v>105813300</v>
      </c>
      <c r="D8779">
        <v>29525</v>
      </c>
    </row>
    <row r="8780" spans="1:4" x14ac:dyDescent="0.25">
      <c r="A8780" t="str">
        <f>T("   847150")</f>
        <v xml:space="preserve">   847150</v>
      </c>
      <c r="B8780" t="s">
        <v>438</v>
      </c>
      <c r="C8780">
        <v>1431000</v>
      </c>
      <c r="D8780">
        <v>250</v>
      </c>
    </row>
    <row r="8781" spans="1:4" x14ac:dyDescent="0.25">
      <c r="A8781" t="str">
        <f>T("   847180")</f>
        <v xml:space="preserve">   847180</v>
      </c>
      <c r="B8781"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8781">
        <v>4225000</v>
      </c>
      <c r="D8781">
        <v>340</v>
      </c>
    </row>
    <row r="8782" spans="1:4" x14ac:dyDescent="0.25">
      <c r="A8782" t="str">
        <f>T("   847190")</f>
        <v xml:space="preserve">   847190</v>
      </c>
      <c r="B8782"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8782">
        <v>34305963</v>
      </c>
      <c r="D8782">
        <v>8598</v>
      </c>
    </row>
    <row r="8783" spans="1:4" x14ac:dyDescent="0.25">
      <c r="A8783" t="str">
        <f>T("   847199")</f>
        <v xml:space="preserve">   847199</v>
      </c>
      <c r="B8783" t="s">
        <v>439</v>
      </c>
      <c r="C8783">
        <v>240000</v>
      </c>
      <c r="D8783">
        <v>20</v>
      </c>
    </row>
    <row r="8784" spans="1:4" x14ac:dyDescent="0.25">
      <c r="A8784" t="str">
        <f>T("   847290")</f>
        <v xml:space="preserve">   847290</v>
      </c>
      <c r="B8784" t="str">
        <f>T("   Machines et appareils de bureau, n.d.a.")</f>
        <v xml:space="preserve">   Machines et appareils de bureau, n.d.a.</v>
      </c>
      <c r="C8784">
        <v>300000</v>
      </c>
      <c r="D8784">
        <v>200</v>
      </c>
    </row>
    <row r="8785" spans="1:4" x14ac:dyDescent="0.25">
      <c r="A8785" t="str">
        <f>T("   847321")</f>
        <v xml:space="preserve">   847321</v>
      </c>
      <c r="B8785" t="str">
        <f>T("   Parties et accessoires des machines à calculer électroniques du n° 8470.10, 8470.21 ou 8470.29, n.d.a.")</f>
        <v xml:space="preserve">   Parties et accessoires des machines à calculer électroniques du n° 8470.10, 8470.21 ou 8470.29, n.d.a.</v>
      </c>
      <c r="C8785">
        <v>75000</v>
      </c>
      <c r="D8785">
        <v>40</v>
      </c>
    </row>
    <row r="8786" spans="1:4" x14ac:dyDescent="0.25">
      <c r="A8786" t="str">
        <f>T("   847420")</f>
        <v xml:space="preserve">   847420</v>
      </c>
      <c r="B8786" t="str">
        <f>T("   Machines et appareils à concasser, broyer ou pulvériser les matières minérales solides")</f>
        <v xml:space="preserve">   Machines et appareils à concasser, broyer ou pulvériser les matières minérales solides</v>
      </c>
      <c r="C8786">
        <v>72401823</v>
      </c>
      <c r="D8786">
        <v>150000</v>
      </c>
    </row>
    <row r="8787" spans="1:4" x14ac:dyDescent="0.25">
      <c r="A8787" t="str">
        <f>T("   847910")</f>
        <v xml:space="preserve">   847910</v>
      </c>
      <c r="B8787" t="str">
        <f>T("   Machines et appareils pour les travaux publics, le bâtiment ou les travaux analogues, n.d.a.")</f>
        <v xml:space="preserve">   Machines et appareils pour les travaux publics, le bâtiment ou les travaux analogues, n.d.a.</v>
      </c>
      <c r="C8787">
        <v>1000000</v>
      </c>
      <c r="D8787">
        <v>300</v>
      </c>
    </row>
    <row r="8788" spans="1:4" x14ac:dyDescent="0.25">
      <c r="A8788" t="str">
        <f>T("   848041")</f>
        <v xml:space="preserve">   848041</v>
      </c>
      <c r="B8788" t="str">
        <f>T("   Moules pour les métaux ou les carbures métalliques, pour le moulage par injection ou par compression (autres qu'en graphite ou autres formes de carbone, autres qu'en produits céramiques ou en verre)")</f>
        <v xml:space="preserve">   Moules pour les métaux ou les carbures métalliques, pour le moulage par injection ou par compression (autres qu'en graphite ou autres formes de carbone, autres qu'en produits céramiques ou en verre)</v>
      </c>
      <c r="C8788">
        <v>280000</v>
      </c>
      <c r="D8788">
        <v>50</v>
      </c>
    </row>
    <row r="8789" spans="1:4" x14ac:dyDescent="0.25">
      <c r="A8789" t="str">
        <f>T("   848180")</f>
        <v xml:space="preserve">   848180</v>
      </c>
      <c r="B8789"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8789">
        <v>13715448</v>
      </c>
      <c r="D8789">
        <v>13991</v>
      </c>
    </row>
    <row r="8790" spans="1:4" x14ac:dyDescent="0.25">
      <c r="A8790" t="str">
        <f>T("   848590")</f>
        <v xml:space="preserve">   848590</v>
      </c>
      <c r="B8790" t="str">
        <f>T("   Parties de machines et appareils du chapitre 84, sans caractéristiques spéciales d'utilisation, n.d.a.")</f>
        <v xml:space="preserve">   Parties de machines et appareils du chapitre 84, sans caractéristiques spéciales d'utilisation, n.d.a.</v>
      </c>
      <c r="C8790">
        <v>149040</v>
      </c>
      <c r="D8790">
        <v>50</v>
      </c>
    </row>
    <row r="8791" spans="1:4" x14ac:dyDescent="0.25">
      <c r="A8791" t="str">
        <f>T("   850133")</f>
        <v xml:space="preserve">   850133</v>
      </c>
      <c r="B8791" t="str">
        <f>T("   Moteurs et génératrices à courant continu, puissance &gt; 75 kW mais &lt;= 375 kW")</f>
        <v xml:space="preserve">   Moteurs et génératrices à courant continu, puissance &gt; 75 kW mais &lt;= 375 kW</v>
      </c>
      <c r="C8791">
        <v>6834732</v>
      </c>
      <c r="D8791">
        <v>13000</v>
      </c>
    </row>
    <row r="8792" spans="1:4" x14ac:dyDescent="0.25">
      <c r="A8792" t="str">
        <f>T("   850161")</f>
        <v xml:space="preserve">   850161</v>
      </c>
      <c r="B8792" t="str">
        <f>T("   Alternateurs, puissance &lt;= 75 kVA")</f>
        <v xml:space="preserve">   Alternateurs, puissance &lt;= 75 kVA</v>
      </c>
      <c r="C8792">
        <v>13571648</v>
      </c>
      <c r="D8792">
        <v>3408</v>
      </c>
    </row>
    <row r="8793" spans="1:4" x14ac:dyDescent="0.25">
      <c r="A8793" t="str">
        <f>T("   850211")</f>
        <v xml:space="preserve">   850211</v>
      </c>
      <c r="B8793" t="s">
        <v>449</v>
      </c>
      <c r="C8793">
        <v>7376760</v>
      </c>
      <c r="D8793">
        <v>1470</v>
      </c>
    </row>
    <row r="8794" spans="1:4" x14ac:dyDescent="0.25">
      <c r="A8794" t="str">
        <f>T("   850212")</f>
        <v xml:space="preserve">   850212</v>
      </c>
      <c r="B8794"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8794">
        <v>36416915</v>
      </c>
      <c r="D8794">
        <v>7900</v>
      </c>
    </row>
    <row r="8795" spans="1:4" x14ac:dyDescent="0.25">
      <c r="A8795" t="str">
        <f>T("   850220")</f>
        <v xml:space="preserve">   850220</v>
      </c>
      <c r="B8795" t="s">
        <v>451</v>
      </c>
      <c r="C8795">
        <v>67228562</v>
      </c>
      <c r="D8795">
        <v>38664</v>
      </c>
    </row>
    <row r="8796" spans="1:4" x14ac:dyDescent="0.25">
      <c r="A8796" t="str">
        <f>T("   850239")</f>
        <v xml:space="preserve">   850239</v>
      </c>
      <c r="B8796" t="str">
        <f>T("   Groupes électrogènes (autres qu'à énergie éolienne et à moteurs à piston)")</f>
        <v xml:space="preserve">   Groupes électrogènes (autres qu'à énergie éolienne et à moteurs à piston)</v>
      </c>
      <c r="C8796">
        <v>1163311</v>
      </c>
      <c r="D8796">
        <v>580</v>
      </c>
    </row>
    <row r="8797" spans="1:4" x14ac:dyDescent="0.25">
      <c r="A8797" t="str">
        <f>T("   850421")</f>
        <v xml:space="preserve">   850421</v>
      </c>
      <c r="B8797" t="str">
        <f>T("   Transformateurs à diélectrique liquide, puissance &lt;= 650 kVA")</f>
        <v xml:space="preserve">   Transformateurs à diélectrique liquide, puissance &lt;= 650 kVA</v>
      </c>
      <c r="C8797">
        <v>263277</v>
      </c>
      <c r="D8797">
        <v>200</v>
      </c>
    </row>
    <row r="8798" spans="1:4" x14ac:dyDescent="0.25">
      <c r="A8798" t="str">
        <f>T("   850431")</f>
        <v xml:space="preserve">   850431</v>
      </c>
      <c r="B8798" t="str">
        <f>T("   Transformateurs à sec, puissance &lt;= 1 kVA")</f>
        <v xml:space="preserve">   Transformateurs à sec, puissance &lt;= 1 kVA</v>
      </c>
      <c r="C8798">
        <v>22792766</v>
      </c>
      <c r="D8798">
        <v>26510</v>
      </c>
    </row>
    <row r="8799" spans="1:4" x14ac:dyDescent="0.25">
      <c r="A8799" t="str">
        <f>T("   850432")</f>
        <v xml:space="preserve">   850432</v>
      </c>
      <c r="B8799" t="str">
        <f>T("   Transformateurs à sec, puissance &gt; 1 kVA mais &lt;= 16 kVA")</f>
        <v xml:space="preserve">   Transformateurs à sec, puissance &gt; 1 kVA mais &lt;= 16 kVA</v>
      </c>
      <c r="C8799">
        <v>483353</v>
      </c>
      <c r="D8799">
        <v>110</v>
      </c>
    </row>
    <row r="8800" spans="1:4" x14ac:dyDescent="0.25">
      <c r="A8800" t="str">
        <f>T("   850433")</f>
        <v xml:space="preserve">   850433</v>
      </c>
      <c r="B8800" t="str">
        <f>T("   Transformateurs à sec, puissance &gt; 16 kVA mais &lt;= 500 kVA")</f>
        <v xml:space="preserve">   Transformateurs à sec, puissance &gt; 16 kVA mais &lt;= 500 kVA</v>
      </c>
      <c r="C8800">
        <v>4820359</v>
      </c>
      <c r="D8800">
        <v>3030</v>
      </c>
    </row>
    <row r="8801" spans="1:4" x14ac:dyDescent="0.25">
      <c r="A8801" t="str">
        <f>T("   850434")</f>
        <v xml:space="preserve">   850434</v>
      </c>
      <c r="B8801" t="str">
        <f>T("   Transformateurs à sec, puissance &gt; 500 kVA")</f>
        <v xml:space="preserve">   Transformateurs à sec, puissance &gt; 500 kVA</v>
      </c>
      <c r="C8801">
        <v>36881</v>
      </c>
      <c r="D8801">
        <v>100</v>
      </c>
    </row>
    <row r="8802" spans="1:4" x14ac:dyDescent="0.25">
      <c r="A8802" t="str">
        <f>T("   850440")</f>
        <v xml:space="preserve">   850440</v>
      </c>
      <c r="B8802" t="str">
        <f>T("   CONVERTISSEURS STATIQUES")</f>
        <v xml:space="preserve">   CONVERTISSEURS STATIQUES</v>
      </c>
      <c r="C8802">
        <v>1500000</v>
      </c>
      <c r="D8802">
        <v>60</v>
      </c>
    </row>
    <row r="8803" spans="1:4" x14ac:dyDescent="0.25">
      <c r="A8803" t="str">
        <f>T("   850490")</f>
        <v xml:space="preserve">   850490</v>
      </c>
      <c r="B8803" t="str">
        <f>T("   Parties de transformateurs, de bobines de réactance et selfs n.d.a.")</f>
        <v xml:space="preserve">   Parties de transformateurs, de bobines de réactance et selfs n.d.a.</v>
      </c>
      <c r="C8803">
        <v>144000</v>
      </c>
      <c r="D8803">
        <v>180</v>
      </c>
    </row>
    <row r="8804" spans="1:4" x14ac:dyDescent="0.25">
      <c r="A8804" t="str">
        <f>T("   850680")</f>
        <v xml:space="preserve">   850680</v>
      </c>
      <c r="B8804" t="str">
        <f>T("   Piles et batteries de piles électriques (sauf hors d'usage et autres que piles et batteries à l'oxyde d'argent, de mercure, au bioxyde de manganèse, au lithium et à l'air-zinc)")</f>
        <v xml:space="preserve">   Piles et batteries de piles électriques (sauf hors d'usage et autres que piles et batteries à l'oxyde d'argent, de mercure, au bioxyde de manganèse, au lithium et à l'air-zinc)</v>
      </c>
      <c r="C8804">
        <v>27000</v>
      </c>
      <c r="D8804">
        <v>45</v>
      </c>
    </row>
    <row r="8805" spans="1:4" x14ac:dyDescent="0.25">
      <c r="A8805" t="str">
        <f>T("   850690")</f>
        <v xml:space="preserve">   850690</v>
      </c>
      <c r="B8805" t="str">
        <f>T("   Parties de piles et batteries de piles électriques n.d.a.")</f>
        <v xml:space="preserve">   Parties de piles et batteries de piles électriques n.d.a.</v>
      </c>
      <c r="C8805">
        <v>569495</v>
      </c>
      <c r="D8805">
        <v>949</v>
      </c>
    </row>
    <row r="8806" spans="1:4" x14ac:dyDescent="0.25">
      <c r="A8806" t="str">
        <f>T("   850710")</f>
        <v xml:space="preserve">   850710</v>
      </c>
      <c r="B8806" t="str">
        <f>T("   Accumulateurs au plomb, pour le démarrage des moteurs à piston (sauf hors d'usage)")</f>
        <v xml:space="preserve">   Accumulateurs au plomb, pour le démarrage des moteurs à piston (sauf hors d'usage)</v>
      </c>
      <c r="C8806">
        <v>36865599</v>
      </c>
      <c r="D8806">
        <v>54306</v>
      </c>
    </row>
    <row r="8807" spans="1:4" x14ac:dyDescent="0.25">
      <c r="A8807" t="str">
        <f>T("   850720")</f>
        <v xml:space="preserve">   850720</v>
      </c>
      <c r="B8807" t="str">
        <f>T("   Accumulateurs au plomb (sauf hors d'usage et autres que pour le démarrage des moteurs à piston)")</f>
        <v xml:space="preserve">   Accumulateurs au plomb (sauf hors d'usage et autres que pour le démarrage des moteurs à piston)</v>
      </c>
      <c r="C8807">
        <v>292506</v>
      </c>
      <c r="D8807">
        <v>400</v>
      </c>
    </row>
    <row r="8808" spans="1:4" x14ac:dyDescent="0.25">
      <c r="A8808" t="str">
        <f>T("   850780")</f>
        <v xml:space="preserve">   850780</v>
      </c>
      <c r="B8808" t="str">
        <f>T("   Accumulateurs électriques (sauf hors d'usage et autres qu'au plomb, au nickel-cadmium ou au nickel-fer)")</f>
        <v xml:space="preserve">   Accumulateurs électriques (sauf hors d'usage et autres qu'au plomb, au nickel-cadmium ou au nickel-fer)</v>
      </c>
      <c r="C8808">
        <v>5893840</v>
      </c>
      <c r="D8808">
        <v>17400</v>
      </c>
    </row>
    <row r="8809" spans="1:4" x14ac:dyDescent="0.25">
      <c r="A8809" t="str">
        <f>T("   850980")</f>
        <v xml:space="preserve">   850980</v>
      </c>
      <c r="B8809" t="s">
        <v>452</v>
      </c>
      <c r="C8809">
        <v>165000</v>
      </c>
      <c r="D8809">
        <v>50</v>
      </c>
    </row>
    <row r="8810" spans="1:4" x14ac:dyDescent="0.25">
      <c r="A8810" t="str">
        <f>T("   850990")</f>
        <v xml:space="preserve">   850990</v>
      </c>
      <c r="B8810" t="str">
        <f>T("   Parties d'appareils électromécaniques à moteur électrique incorporé, à usage domestique, n.d.a.")</f>
        <v xml:space="preserve">   Parties d'appareils électromécaniques à moteur électrique incorporé, à usage domestique, n.d.a.</v>
      </c>
      <c r="C8810">
        <v>64000</v>
      </c>
      <c r="D8810">
        <v>40</v>
      </c>
    </row>
    <row r="8811" spans="1:4" x14ac:dyDescent="0.25">
      <c r="A8811" t="str">
        <f>T("   851220")</f>
        <v xml:space="preserve">   851220</v>
      </c>
      <c r="B8811" t="str">
        <f>T("   Appareils électriques d'éclairage ou de signalisation visuelle, pour automobiles (à l'excl. des lampes du n° 8539)")</f>
        <v xml:space="preserve">   Appareils électriques d'éclairage ou de signalisation visuelle, pour automobiles (à l'excl. des lampes du n° 8539)</v>
      </c>
      <c r="C8811">
        <v>128000</v>
      </c>
      <c r="D8811">
        <v>45</v>
      </c>
    </row>
    <row r="8812" spans="1:4" x14ac:dyDescent="0.25">
      <c r="A8812" t="str">
        <f>T("   851310")</f>
        <v xml:space="preserve">   851310</v>
      </c>
      <c r="B8812" t="str">
        <f>T("   Lampes électriques portatives, destinées à fonctionner au moyen de leur propre source d'énergie")</f>
        <v xml:space="preserve">   Lampes électriques portatives, destinées à fonctionner au moyen de leur propre source d'énergie</v>
      </c>
      <c r="C8812">
        <v>741400</v>
      </c>
      <c r="D8812">
        <v>500</v>
      </c>
    </row>
    <row r="8813" spans="1:4" x14ac:dyDescent="0.25">
      <c r="A8813" t="str">
        <f>T("   851631")</f>
        <v xml:space="preserve">   851631</v>
      </c>
      <c r="B8813" t="str">
        <f>T("   Sèche-cheveux électriques")</f>
        <v xml:space="preserve">   Sèche-cheveux électriques</v>
      </c>
      <c r="C8813">
        <v>20000</v>
      </c>
      <c r="D8813">
        <v>10</v>
      </c>
    </row>
    <row r="8814" spans="1:4" x14ac:dyDescent="0.25">
      <c r="A8814" t="str">
        <f>T("   851640")</f>
        <v xml:space="preserve">   851640</v>
      </c>
      <c r="B8814" t="str">
        <f>T("   Fers à repasser électriques")</f>
        <v xml:space="preserve">   Fers à repasser électriques</v>
      </c>
      <c r="C8814">
        <v>45175</v>
      </c>
      <c r="D8814">
        <v>210</v>
      </c>
    </row>
    <row r="8815" spans="1:4" x14ac:dyDescent="0.25">
      <c r="A8815" t="str">
        <f>T("   851711")</f>
        <v xml:space="preserve">   851711</v>
      </c>
      <c r="B8815" t="str">
        <f>T("   Postes téléphoniques d'usagers pour la téléphonie par fil à combinés sans fil")</f>
        <v xml:space="preserve">   Postes téléphoniques d'usagers pour la téléphonie par fil à combinés sans fil</v>
      </c>
      <c r="C8815">
        <v>6784000</v>
      </c>
      <c r="D8815">
        <v>224</v>
      </c>
    </row>
    <row r="8816" spans="1:4" x14ac:dyDescent="0.25">
      <c r="A8816" t="str">
        <f>T("   851780")</f>
        <v xml:space="preserve">   851780</v>
      </c>
      <c r="B8816" t="s">
        <v>458</v>
      </c>
      <c r="C8816">
        <v>648000</v>
      </c>
      <c r="D8816">
        <v>700</v>
      </c>
    </row>
    <row r="8817" spans="1:4" x14ac:dyDescent="0.25">
      <c r="A8817" t="str">
        <f>T("   851790")</f>
        <v xml:space="preserve">   851790</v>
      </c>
      <c r="B8817" t="s">
        <v>459</v>
      </c>
      <c r="C8817">
        <v>14601492</v>
      </c>
      <c r="D8817">
        <v>8546</v>
      </c>
    </row>
    <row r="8818" spans="1:4" x14ac:dyDescent="0.25">
      <c r="A8818" t="str">
        <f>T("   851810")</f>
        <v xml:space="preserve">   851810</v>
      </c>
      <c r="B8818" t="str">
        <f>T("   Microphones et leurs supports (autres que sans fil, avec émetteur incorporé)")</f>
        <v xml:space="preserve">   Microphones et leurs supports (autres que sans fil, avec émetteur incorporé)</v>
      </c>
      <c r="C8818">
        <v>94000</v>
      </c>
      <c r="D8818">
        <v>35</v>
      </c>
    </row>
    <row r="8819" spans="1:4" x14ac:dyDescent="0.25">
      <c r="A8819" t="str">
        <f>T("   851821")</f>
        <v xml:space="preserve">   851821</v>
      </c>
      <c r="B8819" t="str">
        <f>T("   Haut-parleur unique monté dans son enceinte")</f>
        <v xml:space="preserve">   Haut-parleur unique monté dans son enceinte</v>
      </c>
      <c r="C8819">
        <v>684037</v>
      </c>
      <c r="D8819">
        <v>1298</v>
      </c>
    </row>
    <row r="8820" spans="1:4" x14ac:dyDescent="0.25">
      <c r="A8820" t="str">
        <f>T("   851822")</f>
        <v xml:space="preserve">   851822</v>
      </c>
      <c r="B8820" t="str">
        <f>T("   Haut-parleurs multiples montés dans la même enceinte")</f>
        <v xml:space="preserve">   Haut-parleurs multiples montés dans la même enceinte</v>
      </c>
      <c r="C8820">
        <v>1186000</v>
      </c>
      <c r="D8820">
        <v>200</v>
      </c>
    </row>
    <row r="8821" spans="1:4" x14ac:dyDescent="0.25">
      <c r="A8821" t="str">
        <f>T("   851840")</f>
        <v xml:space="preserve">   851840</v>
      </c>
      <c r="B8821" t="str">
        <f>T("   Amplificateurs électriques d'audiofréquence")</f>
        <v xml:space="preserve">   Amplificateurs électriques d'audiofréquence</v>
      </c>
      <c r="C8821">
        <v>45000</v>
      </c>
      <c r="D8821">
        <v>20</v>
      </c>
    </row>
    <row r="8822" spans="1:4" x14ac:dyDescent="0.25">
      <c r="A8822" t="str">
        <f>T("   851850")</f>
        <v xml:space="preserve">   851850</v>
      </c>
      <c r="B8822" t="str">
        <f>T("   Appareils électriques d'amplification du son")</f>
        <v xml:space="preserve">   Appareils électriques d'amplification du son</v>
      </c>
      <c r="C8822">
        <v>985000</v>
      </c>
      <c r="D8822">
        <v>4848</v>
      </c>
    </row>
    <row r="8823" spans="1:4" x14ac:dyDescent="0.25">
      <c r="A8823" t="str">
        <f>T("   851999")</f>
        <v xml:space="preserve">   851999</v>
      </c>
      <c r="B8823" t="str">
        <f>T("   Appareils de reproduction du son, n'incorporant pas de dispositif d'enregistrement du son (autres que tourne-disques, électrophones commandés par l'introduction d'une pièce de monnaie ou d'un jeton, machines à dicter et lecteurs de cassettes)")</f>
        <v xml:space="preserve">   Appareils de reproduction du son, n'incorporant pas de dispositif d'enregistrement du son (autres que tourne-disques, électrophones commandés par l'introduction d'une pièce de monnaie ou d'un jeton, machines à dicter et lecteurs de cassettes)</v>
      </c>
      <c r="C8823">
        <v>930000</v>
      </c>
      <c r="D8823">
        <v>200</v>
      </c>
    </row>
    <row r="8824" spans="1:4" x14ac:dyDescent="0.25">
      <c r="A8824" t="str">
        <f>T("   852020")</f>
        <v xml:space="preserve">   852020</v>
      </c>
      <c r="B8824" t="str">
        <f>T("   Répondeurs téléphoniques, incorporant un dispositif de reproduction du son")</f>
        <v xml:space="preserve">   Répondeurs téléphoniques, incorporant un dispositif de reproduction du son</v>
      </c>
      <c r="C8824">
        <v>560000</v>
      </c>
      <c r="D8824">
        <v>20</v>
      </c>
    </row>
    <row r="8825" spans="1:4" x14ac:dyDescent="0.25">
      <c r="A8825" t="str">
        <f>T("   852033")</f>
        <v xml:space="preserve">   852033</v>
      </c>
      <c r="B8825" t="str">
        <f>T("   Appareils d'enregistrement et de reproduction du son, à cassettes (autres que numériques)")</f>
        <v xml:space="preserve">   Appareils d'enregistrement et de reproduction du son, à cassettes (autres que numériques)</v>
      </c>
      <c r="C8825">
        <v>220000</v>
      </c>
      <c r="D8825">
        <v>267</v>
      </c>
    </row>
    <row r="8826" spans="1:4" x14ac:dyDescent="0.25">
      <c r="A8826" t="str">
        <f>T("   852110")</f>
        <v xml:space="preserve">   852110</v>
      </c>
      <c r="B8826" t="s">
        <v>461</v>
      </c>
      <c r="C8826">
        <v>115235</v>
      </c>
      <c r="D8826">
        <v>20</v>
      </c>
    </row>
    <row r="8827" spans="1:4" x14ac:dyDescent="0.25">
      <c r="A8827" t="str">
        <f>T("   852190")</f>
        <v xml:space="preserve">   852190</v>
      </c>
      <c r="B8827" t="s">
        <v>462</v>
      </c>
      <c r="C8827">
        <v>1085000</v>
      </c>
      <c r="D8827">
        <v>320</v>
      </c>
    </row>
    <row r="8828" spans="1:4" x14ac:dyDescent="0.25">
      <c r="A8828" t="str">
        <f>T("   852290")</f>
        <v xml:space="preserve">   852290</v>
      </c>
      <c r="B8828" t="s">
        <v>463</v>
      </c>
      <c r="C8828">
        <v>311500</v>
      </c>
      <c r="D8828">
        <v>285</v>
      </c>
    </row>
    <row r="8829" spans="1:4" x14ac:dyDescent="0.25">
      <c r="A8829" t="str">
        <f>T("   852311")</f>
        <v xml:space="preserve">   852311</v>
      </c>
      <c r="B8829" t="str">
        <f>T("   Bandes magnétiques non enregistrées, largeur &lt;= 4 mm")</f>
        <v xml:space="preserve">   Bandes magnétiques non enregistrées, largeur &lt;= 4 mm</v>
      </c>
      <c r="C8829">
        <v>165000</v>
      </c>
      <c r="D8829">
        <v>80</v>
      </c>
    </row>
    <row r="8830" spans="1:4" x14ac:dyDescent="0.25">
      <c r="A8830" t="str">
        <f>T("   852330")</f>
        <v xml:space="preserve">   852330</v>
      </c>
      <c r="B8830" t="str">
        <f>T("   Cartes munies d'une piste magnétique non enregistrée")</f>
        <v xml:space="preserve">   Cartes munies d'une piste magnétique non enregistrée</v>
      </c>
      <c r="C8830">
        <v>17823720</v>
      </c>
      <c r="D8830">
        <v>2400</v>
      </c>
    </row>
    <row r="8831" spans="1:4" x14ac:dyDescent="0.25">
      <c r="A8831" t="str">
        <f>T("   852390")</f>
        <v xml:space="preserve">   852390</v>
      </c>
      <c r="B8831" t="str">
        <f>T("   SUPPORTS PRÉPARÉS POUR L'ENREGISTREMENT DU SON OU POUR ENREGISTREMENTS ANALOGUES, NON-ENREGISTRÉS (AUTRES QUE BANDES ET DISQUES MAGNÉTIQUES, CARTES MUNIES D'UNE PISTE MAGNÉTIQUE ET PRODUITS DU CHAPITRE 37)")</f>
        <v xml:space="preserve">   SUPPORTS PRÉPARÉS POUR L'ENREGISTREMENT DU SON OU POUR ENREGISTREMENTS ANALOGUES, NON-ENREGISTRÉS (AUTRES QUE BANDES ET DISQUES MAGNÉTIQUES, CARTES MUNIES D'UNE PISTE MAGNÉTIQUE ET PRODUITS DU CHAPITRE 37)</v>
      </c>
      <c r="C8831">
        <v>80000</v>
      </c>
      <c r="D8831">
        <v>100</v>
      </c>
    </row>
    <row r="8832" spans="1:4" x14ac:dyDescent="0.25">
      <c r="A8832" t="str">
        <f>T("   852432")</f>
        <v xml:space="preserve">   852432</v>
      </c>
      <c r="B8832" t="str">
        <f>T("   Disques enregistrés pour systèmes de lecture optique par faisceau laser, pour la reproduction du son uniquement")</f>
        <v xml:space="preserve">   Disques enregistrés pour systèmes de lecture optique par faisceau laser, pour la reproduction du son uniquement</v>
      </c>
      <c r="C8832">
        <v>1145340</v>
      </c>
      <c r="D8832">
        <v>1905</v>
      </c>
    </row>
    <row r="8833" spans="1:4" x14ac:dyDescent="0.25">
      <c r="A8833" t="str">
        <f>T("   852453")</f>
        <v xml:space="preserve">   852453</v>
      </c>
      <c r="B8833" t="str">
        <f>T("   Bandes magnétiques pour la reproduction du son ou l'image, enregistrées, largeur &gt; 6,5 mm")</f>
        <v xml:space="preserve">   Bandes magnétiques pour la reproduction du son ou l'image, enregistrées, largeur &gt; 6,5 mm</v>
      </c>
      <c r="C8833">
        <v>180000</v>
      </c>
      <c r="D8833">
        <v>50</v>
      </c>
    </row>
    <row r="8834" spans="1:4" x14ac:dyDescent="0.25">
      <c r="A8834" t="str">
        <f>T("   852510")</f>
        <v xml:space="preserve">   852510</v>
      </c>
      <c r="B8834" t="str">
        <f>T("   Appareils d'émission, pour la radiotéléphonie, la radiotélégraphie, la radiodiffusion ou la télévision")</f>
        <v xml:space="preserve">   Appareils d'émission, pour la radiotéléphonie, la radiotélégraphie, la radiodiffusion ou la télévision</v>
      </c>
      <c r="C8834">
        <v>350000</v>
      </c>
      <c r="D8834">
        <v>10</v>
      </c>
    </row>
    <row r="8835" spans="1:4" x14ac:dyDescent="0.25">
      <c r="A8835" t="str">
        <f>T("   852520")</f>
        <v xml:space="preserve">   852520</v>
      </c>
      <c r="B8835" t="str">
        <f>T("   Appareils d'émission incorporant un appareil de réception, pour la radiotéléphonie, la radiotélégraphie, la radiodiffusion ou la télévision")</f>
        <v xml:space="preserve">   Appareils d'émission incorporant un appareil de réception, pour la radiotéléphonie, la radiotélégraphie, la radiodiffusion ou la télévision</v>
      </c>
      <c r="C8835">
        <v>38154000</v>
      </c>
      <c r="D8835">
        <v>2314</v>
      </c>
    </row>
    <row r="8836" spans="1:4" x14ac:dyDescent="0.25">
      <c r="A8836" t="str">
        <f>T("   852540")</f>
        <v xml:space="preserve">   852540</v>
      </c>
      <c r="B8836" t="str">
        <f>T("   Appareils de prise de vues fixes vidéo et autres caméscopes; appareils photographiques numériques")</f>
        <v xml:space="preserve">   Appareils de prise de vues fixes vidéo et autres caméscopes; appareils photographiques numériques</v>
      </c>
      <c r="C8836">
        <v>3936340</v>
      </c>
      <c r="D8836">
        <v>1210</v>
      </c>
    </row>
    <row r="8837" spans="1:4" x14ac:dyDescent="0.25">
      <c r="A8837" t="str">
        <f>T("   852713")</f>
        <v xml:space="preserve">   852713</v>
      </c>
      <c r="B8837" t="str">
        <f>T("   RÉCEPTEURS DE RADIODIFFUSION POUVANT FONCTIONNER SANS SOURCE D'ÉNERGIE EXTÉRIEURE, COMBINÉS À UN APPAREIL D'ENREGISTREMENT OU DE REPRODUCTION DU SON (À L'EXCL. DES RADIOCASSETTES DE POCHE)")</f>
        <v xml:space="preserve">   RÉCEPTEURS DE RADIODIFFUSION POUVANT FONCTIONNER SANS SOURCE D'ÉNERGIE EXTÉRIEURE, COMBINÉS À UN APPAREIL D'ENREGISTREMENT OU DE REPRODUCTION DU SON (À L'EXCL. DES RADIOCASSETTES DE POCHE)</v>
      </c>
      <c r="C8837">
        <v>2030000</v>
      </c>
      <c r="D8837">
        <v>780</v>
      </c>
    </row>
    <row r="8838" spans="1:4" x14ac:dyDescent="0.25">
      <c r="A8838" t="str">
        <f>T("   852719")</f>
        <v xml:space="preserve">   852719</v>
      </c>
      <c r="B8838" t="str">
        <f>T("   Récepteurs de radiodiffusion pouvant fonctionner sans source d'énergie extérieure, y.c. les appareils recevant également la radiotéléphonie ou la radiotélégraphie, non combinés à un appareil d'enregistrement et de reproduction du son")</f>
        <v xml:space="preserve">   Récepteurs de radiodiffusion pouvant fonctionner sans source d'énergie extérieure, y.c. les appareils recevant également la radiotéléphonie ou la radiotélégraphie, non combinés à un appareil d'enregistrement et de reproduction du son</v>
      </c>
      <c r="C8838">
        <v>1042500</v>
      </c>
      <c r="D8838">
        <v>290</v>
      </c>
    </row>
    <row r="8839" spans="1:4" x14ac:dyDescent="0.25">
      <c r="A8839" t="str">
        <f>T("   852810")</f>
        <v xml:space="preserve">   852810</v>
      </c>
      <c r="B8839" t="s">
        <v>469</v>
      </c>
      <c r="C8839">
        <v>218446</v>
      </c>
      <c r="D8839">
        <v>20</v>
      </c>
    </row>
    <row r="8840" spans="1:4" x14ac:dyDescent="0.25">
      <c r="A8840" t="str">
        <f>T("   852812")</f>
        <v xml:space="preserve">   852812</v>
      </c>
      <c r="B8840"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8840">
        <v>11831517</v>
      </c>
      <c r="D8840">
        <v>3710</v>
      </c>
    </row>
    <row r="8841" spans="1:4" x14ac:dyDescent="0.25">
      <c r="A8841" t="str">
        <f>T("   852821")</f>
        <v xml:space="preserve">   852821</v>
      </c>
      <c r="B8841" t="str">
        <f>T("   Moniteurs vidéo en couleurs")</f>
        <v xml:space="preserve">   Moniteurs vidéo en couleurs</v>
      </c>
      <c r="C8841">
        <v>330152</v>
      </c>
      <c r="D8841">
        <v>160</v>
      </c>
    </row>
    <row r="8842" spans="1:4" x14ac:dyDescent="0.25">
      <c r="A8842" t="str">
        <f>T("   852910")</f>
        <v xml:space="preserve">   852910</v>
      </c>
      <c r="B8842"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8842">
        <v>2624550</v>
      </c>
      <c r="D8842">
        <v>1900</v>
      </c>
    </row>
    <row r="8843" spans="1:4" x14ac:dyDescent="0.25">
      <c r="A8843" t="str">
        <f>T("   852990")</f>
        <v xml:space="preserve">   852990</v>
      </c>
      <c r="B8843" t="s">
        <v>471</v>
      </c>
      <c r="C8843">
        <v>917139</v>
      </c>
      <c r="D8843">
        <v>135</v>
      </c>
    </row>
    <row r="8844" spans="1:4" x14ac:dyDescent="0.25">
      <c r="A8844" t="str">
        <f>T("   853649")</f>
        <v xml:space="preserve">   853649</v>
      </c>
      <c r="B8844" t="str">
        <f>T("   Relais, pour une tension &gt; 60 V mais &lt;= 1.000 V")</f>
        <v xml:space="preserve">   Relais, pour une tension &gt; 60 V mais &lt;= 1.000 V</v>
      </c>
      <c r="C8844">
        <v>171428593</v>
      </c>
      <c r="D8844">
        <v>226427</v>
      </c>
    </row>
    <row r="8845" spans="1:4" x14ac:dyDescent="0.25">
      <c r="A8845" t="str">
        <f>T("   853669")</f>
        <v xml:space="preserve">   853669</v>
      </c>
      <c r="B8845" t="str">
        <f>T("   Fiches et prises de courant, pour une tension &lt;= 1.000 V (sauf douilles pour lampes)")</f>
        <v xml:space="preserve">   Fiches et prises de courant, pour une tension &lt;= 1.000 V (sauf douilles pour lampes)</v>
      </c>
      <c r="C8845">
        <v>6286750</v>
      </c>
      <c r="D8845">
        <v>4274</v>
      </c>
    </row>
    <row r="8846" spans="1:4" x14ac:dyDescent="0.25">
      <c r="A8846" t="str">
        <f>T("   853690")</f>
        <v xml:space="preserve">   853690</v>
      </c>
      <c r="B8846" t="s">
        <v>474</v>
      </c>
      <c r="C8846">
        <v>104800</v>
      </c>
      <c r="D8846">
        <v>168</v>
      </c>
    </row>
    <row r="8847" spans="1:4" x14ac:dyDescent="0.25">
      <c r="A8847" t="str">
        <f>T("   853710")</f>
        <v xml:space="preserve">   853710</v>
      </c>
      <c r="B8847"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8847">
        <v>1511880</v>
      </c>
      <c r="D8847">
        <v>260</v>
      </c>
    </row>
    <row r="8848" spans="1:4" x14ac:dyDescent="0.25">
      <c r="A8848" t="str">
        <f>T("   853720")</f>
        <v xml:space="preserve">   853720</v>
      </c>
      <c r="B8848"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8848">
        <v>1393200</v>
      </c>
      <c r="D8848">
        <v>5000</v>
      </c>
    </row>
    <row r="8849" spans="1:4" x14ac:dyDescent="0.25">
      <c r="A8849" t="str">
        <f>T("   853910")</f>
        <v xml:space="preserve">   853910</v>
      </c>
      <c r="B8849" t="str">
        <f>T("   Phares et projecteurs scellés")</f>
        <v xml:space="preserve">   Phares et projecteurs scellés</v>
      </c>
      <c r="C8849">
        <v>590546</v>
      </c>
      <c r="D8849">
        <v>418</v>
      </c>
    </row>
    <row r="8850" spans="1:4" x14ac:dyDescent="0.25">
      <c r="A8850" t="str">
        <f>T("   853921")</f>
        <v xml:space="preserve">   853921</v>
      </c>
      <c r="B8850" t="str">
        <f>T("   Lampes et tubes halogènes, au tungstène (autres que phares et projecteurs scellés)")</f>
        <v xml:space="preserve">   Lampes et tubes halogènes, au tungstène (autres que phares et projecteurs scellés)</v>
      </c>
      <c r="C8850">
        <v>395155</v>
      </c>
      <c r="D8850">
        <v>300</v>
      </c>
    </row>
    <row r="8851" spans="1:4" x14ac:dyDescent="0.25">
      <c r="A8851" t="str">
        <f>T("   853929")</f>
        <v xml:space="preserve">   853929</v>
      </c>
      <c r="B8851" t="str">
        <f>T("   Lampes et tubes à incandescence électriques (autres que lampes et tubes halogènes, au tungstène, lampes d'une puissance &lt;= 200 W et pour une tension &gt; 100 V, et lampes à rayons ultraviolets ou infrarouges)")</f>
        <v xml:space="preserve">   Lampes et tubes à incandescence électriques (autres que lampes et tubes halogènes, au tungstène, lampes d'une puissance &lt;= 200 W et pour une tension &gt; 100 V, et lampes à rayons ultraviolets ou infrarouges)</v>
      </c>
      <c r="C8851">
        <v>422212</v>
      </c>
      <c r="D8851">
        <v>500</v>
      </c>
    </row>
    <row r="8852" spans="1:4" x14ac:dyDescent="0.25">
      <c r="A8852" t="str">
        <f>T("   853931")</f>
        <v xml:space="preserve">   853931</v>
      </c>
      <c r="B8852" t="str">
        <f>T("   Lampes et tubes à décharge, fluorescents, à cathode chaude")</f>
        <v xml:space="preserve">   Lampes et tubes à décharge, fluorescents, à cathode chaude</v>
      </c>
      <c r="C8852">
        <v>47010368</v>
      </c>
      <c r="D8852">
        <v>51259</v>
      </c>
    </row>
    <row r="8853" spans="1:4" x14ac:dyDescent="0.25">
      <c r="A8853" t="str">
        <f>T("   853940")</f>
        <v xml:space="preserve">   853940</v>
      </c>
      <c r="B8853" t="str">
        <f>T("   Lampes et tubes a rayons ultraviolets ou infrarouges; lampes a arc")</f>
        <v xml:space="preserve">   Lampes et tubes a rayons ultraviolets ou infrarouges; lampes a arc</v>
      </c>
      <c r="C8853">
        <v>216046</v>
      </c>
      <c r="D8853">
        <v>308</v>
      </c>
    </row>
    <row r="8854" spans="1:4" x14ac:dyDescent="0.25">
      <c r="A8854" t="str">
        <f>T("   853949")</f>
        <v xml:space="preserve">   853949</v>
      </c>
      <c r="B8854" t="str">
        <f>T("   Lampes et tubes à rayons ultraviolets ou infrarouges")</f>
        <v xml:space="preserve">   Lampes et tubes à rayons ultraviolets ou infrarouges</v>
      </c>
      <c r="C8854">
        <v>1245670</v>
      </c>
      <c r="D8854">
        <v>1522</v>
      </c>
    </row>
    <row r="8855" spans="1:4" x14ac:dyDescent="0.25">
      <c r="A8855" t="str">
        <f>T("   853990")</f>
        <v xml:space="preserve">   853990</v>
      </c>
      <c r="B8855" t="str">
        <f>T("   Parties de lampes et de tubes à incandescence ou à décharge, de phares et projecteurs scellés, de lampes à rayons ultraviolets et infrarouges et de lampes à arc, n.d.a.")</f>
        <v xml:space="preserve">   Parties de lampes et de tubes à incandescence ou à décharge, de phares et projecteurs scellés, de lampes à rayons ultraviolets et infrarouges et de lampes à arc, n.d.a.</v>
      </c>
      <c r="C8855">
        <v>892524</v>
      </c>
      <c r="D8855">
        <v>667</v>
      </c>
    </row>
    <row r="8856" spans="1:4" x14ac:dyDescent="0.25">
      <c r="A8856" t="str">
        <f>T("   854319")</f>
        <v xml:space="preserve">   854319</v>
      </c>
      <c r="B8856" t="str">
        <f>T("   Accélérateurs de particules pour électrons, protons etc., électriques (à l'excl. des appareils d'implantation ionique pour doper les matières semi-conductrices)")</f>
        <v xml:space="preserve">   Accélérateurs de particules pour électrons, protons etc., électriques (à l'excl. des appareils d'implantation ionique pour doper les matières semi-conductrices)</v>
      </c>
      <c r="C8856">
        <v>140000</v>
      </c>
      <c r="D8856">
        <v>20</v>
      </c>
    </row>
    <row r="8857" spans="1:4" x14ac:dyDescent="0.25">
      <c r="A8857" t="str">
        <f>T("   854420")</f>
        <v xml:space="preserve">   854420</v>
      </c>
      <c r="B8857" t="str">
        <f>T("   Câbles coaxiaux et autres conducteurs électriques coaxiaux, isolés")</f>
        <v xml:space="preserve">   Câbles coaxiaux et autres conducteurs électriques coaxiaux, isolés</v>
      </c>
      <c r="C8857">
        <v>7120992</v>
      </c>
      <c r="D8857">
        <v>14219</v>
      </c>
    </row>
    <row r="8858" spans="1:4" x14ac:dyDescent="0.25">
      <c r="A8858" t="str">
        <f>T("   854459")</f>
        <v xml:space="preserve">   854459</v>
      </c>
      <c r="B8858" t="str">
        <f>T("   Conducteurs électriques, pour tension &gt; 80 V mais &lt;= 1.000 V, sans pièces de connexion, n.d.a.")</f>
        <v xml:space="preserve">   Conducteurs électriques, pour tension &gt; 80 V mais &lt;= 1.000 V, sans pièces de connexion, n.d.a.</v>
      </c>
      <c r="C8858">
        <v>435711</v>
      </c>
      <c r="D8858">
        <v>447</v>
      </c>
    </row>
    <row r="8859" spans="1:4" x14ac:dyDescent="0.25">
      <c r="A8859" t="str">
        <f>T("   870120")</f>
        <v xml:space="preserve">   870120</v>
      </c>
      <c r="B8859" t="str">
        <f>T("   Tracteurs routiers pour semi-remorques")</f>
        <v xml:space="preserve">   Tracteurs routiers pour semi-remorques</v>
      </c>
      <c r="C8859">
        <v>7383759</v>
      </c>
      <c r="D8859">
        <v>43035</v>
      </c>
    </row>
    <row r="8860" spans="1:4" x14ac:dyDescent="0.25">
      <c r="A8860" t="str">
        <f>T("   870210")</f>
        <v xml:space="preserve">   870210</v>
      </c>
      <c r="B8860" t="s">
        <v>477</v>
      </c>
      <c r="C8860">
        <v>12091688</v>
      </c>
      <c r="D8860">
        <v>9150</v>
      </c>
    </row>
    <row r="8861" spans="1:4" x14ac:dyDescent="0.25">
      <c r="A8861" t="str">
        <f>T("   870322")</f>
        <v xml:space="preserve">   870322</v>
      </c>
      <c r="B8861" t="s">
        <v>480</v>
      </c>
      <c r="C8861">
        <v>15812098</v>
      </c>
      <c r="D8861">
        <v>9507</v>
      </c>
    </row>
    <row r="8862" spans="1:4" x14ac:dyDescent="0.25">
      <c r="A8862" t="str">
        <f>T("   870323")</f>
        <v xml:space="preserve">   870323</v>
      </c>
      <c r="B8862" t="s">
        <v>481</v>
      </c>
      <c r="C8862">
        <v>2837423</v>
      </c>
      <c r="D8862">
        <v>2900</v>
      </c>
    </row>
    <row r="8863" spans="1:4" x14ac:dyDescent="0.25">
      <c r="A8863" t="str">
        <f>T("   870333")</f>
        <v xml:space="preserve">   870333</v>
      </c>
      <c r="B8863" t="s">
        <v>485</v>
      </c>
      <c r="C8863">
        <v>7200000</v>
      </c>
      <c r="D8863">
        <v>8370</v>
      </c>
    </row>
    <row r="8864" spans="1:4" x14ac:dyDescent="0.25">
      <c r="A8864" t="str">
        <f>T("   870421")</f>
        <v xml:space="preserve">   870421</v>
      </c>
      <c r="B8864" t="s">
        <v>486</v>
      </c>
      <c r="C8864">
        <v>1200000</v>
      </c>
      <c r="D8864">
        <v>5000</v>
      </c>
    </row>
    <row r="8865" spans="1:4" x14ac:dyDescent="0.25">
      <c r="A8865" t="str">
        <f>T("   870422")</f>
        <v xml:space="preserve">   870422</v>
      </c>
      <c r="B8865" t="s">
        <v>487</v>
      </c>
      <c r="C8865">
        <v>10626772</v>
      </c>
      <c r="D8865">
        <v>58000</v>
      </c>
    </row>
    <row r="8866" spans="1:4" x14ac:dyDescent="0.25">
      <c r="A8866" t="str">
        <f>T("   870431")</f>
        <v xml:space="preserve">   870431</v>
      </c>
      <c r="B8866" t="s">
        <v>489</v>
      </c>
      <c r="C8866">
        <v>1200000</v>
      </c>
      <c r="D8866">
        <v>1300</v>
      </c>
    </row>
    <row r="8867" spans="1:4" x14ac:dyDescent="0.25">
      <c r="A8867" t="str">
        <f>T("   870590")</f>
        <v xml:space="preserve">   870590</v>
      </c>
      <c r="B8867" t="s">
        <v>491</v>
      </c>
      <c r="C8867">
        <v>58771186</v>
      </c>
      <c r="D8867">
        <v>10000</v>
      </c>
    </row>
    <row r="8868" spans="1:4" x14ac:dyDescent="0.25">
      <c r="A8868" t="str">
        <f>T("   870710")</f>
        <v xml:space="preserve">   870710</v>
      </c>
      <c r="B8868" t="str">
        <f>T("   Carrosseries pour voitures de tourisme")</f>
        <v xml:space="preserve">   Carrosseries pour voitures de tourisme</v>
      </c>
      <c r="C8868">
        <v>224000</v>
      </c>
      <c r="D8868">
        <v>140</v>
      </c>
    </row>
    <row r="8869" spans="1:4" x14ac:dyDescent="0.25">
      <c r="A8869" t="str">
        <f>T("   870810")</f>
        <v xml:space="preserve">   870810</v>
      </c>
      <c r="B8869" t="str">
        <f>T("   PARE-CHOCS ET LEURS PARTIES DE TRACTEURS, VÉHICULES POUR LE TRANSPORT DE &gt;= 10 PERSONNES, CHAUFFEUR INCLUS, VOITURES DE TOURISME, VÉHICULES POUR LE TRANSPORT DE MARCHANDISES ET VÉHICULES À USAGES SPÉCIAUX DU N° 8701 À 8705, N.D.A")</f>
        <v xml:space="preserve">   PARE-CHOCS ET LEURS PARTIES DE TRACTEURS, VÉHICULES POUR LE TRANSPORT DE &gt;= 10 PERSONNES, CHAUFFEUR INCLUS, VOITURES DE TOURISME, VÉHICULES POUR LE TRANSPORT DE MARCHANDISES ET VÉHICULES À USAGES SPÉCIAUX DU N° 8701 À 8705, N.D.A</v>
      </c>
      <c r="C8869">
        <v>1000252</v>
      </c>
      <c r="D8869">
        <v>564</v>
      </c>
    </row>
    <row r="8870" spans="1:4" x14ac:dyDescent="0.25">
      <c r="A8870" t="str">
        <f>T("   870840")</f>
        <v xml:space="preserve">   870840</v>
      </c>
      <c r="B8870" t="str">
        <f>T("   BOÎTES DE VITESSE ET LEURS PARTIES, POUR TRACTEURS, VÉHICULES POUR LE TRANSPORT DE &gt;= 10 PERSONNES, CHAUFFEUR INCLUS, VOITURES DE TOURISME, VÉHICULES POUR LE TRANSPORT DE MARCHANDISES ET VÉHICULES À USAGES SPÉCIAUX, N.D.A.")</f>
        <v xml:space="preserve">   BOÎTES DE VITESSE ET LEURS PARTIES, POUR TRACTEURS, VÉHICULES POUR LE TRANSPORT DE &gt;= 10 PERSONNES, CHAUFFEUR INCLUS, VOITURES DE TOURISME, VÉHICULES POUR LE TRANSPORT DE MARCHANDISES ET VÉHICULES À USAGES SPÉCIAUX, N.D.A.</v>
      </c>
      <c r="C8870">
        <v>237750</v>
      </c>
      <c r="D8870">
        <v>55</v>
      </c>
    </row>
    <row r="8871" spans="1:4" x14ac:dyDescent="0.25">
      <c r="A8871" t="str">
        <f>T("   870860")</f>
        <v xml:space="preserve">   870860</v>
      </c>
      <c r="B8871" t="str">
        <f>T("   ESSIEUX PORTEURS ET LEURS PARTIES, POUR TRACTEURS, VÉHICULES POUR LE TRANSPORT DE &gt;= 10 PERSONNES, CHAUFFEUR INCLUS, VOITURES DE TOURISME, VÉHICULES POUR LE TRANSPORT DE MARCHANDISES ET VÉHICULES À USAGES SPÉCIAUX N.D.A.")</f>
        <v xml:space="preserve">   ESSIEUX PORTEURS ET LEURS PARTIES, POUR TRACTEURS, VÉHICULES POUR LE TRANSPORT DE &gt;= 10 PERSONNES, CHAUFFEUR INCLUS, VOITURES DE TOURISME, VÉHICULES POUR LE TRANSPORT DE MARCHANDISES ET VÉHICULES À USAGES SPÉCIAUX N.D.A.</v>
      </c>
      <c r="C8871">
        <v>304560</v>
      </c>
      <c r="D8871">
        <v>50</v>
      </c>
    </row>
    <row r="8872" spans="1:4" x14ac:dyDescent="0.25">
      <c r="A8872" t="str">
        <f>T("   870870")</f>
        <v xml:space="preserve">   870870</v>
      </c>
      <c r="B8872" t="str">
        <f>T("   ROUES, LEURS PARTIES ET ACCESSOIRES POUR TRACTEURS, VÉHICULES POUR LE TRANSPORT DE &gt;= 10 PERSONNES, CHAUFFEUR INCLUS, VOITURES DE TOURISME, VÉHICULES POUR LE TRANSPORT DE MARCHANDISES ET VÉHICULES À USAGES SPÉCIAUX, N.D.A.")</f>
        <v xml:space="preserve">   ROUES, LEURS PARTIES ET ACCESSOIRES POUR TRACTEURS, VÉHICULES POUR LE TRANSPORT DE &gt;= 10 PERSONNES, CHAUFFEUR INCLUS, VOITURES DE TOURISME, VÉHICULES POUR LE TRANSPORT DE MARCHANDISES ET VÉHICULES À USAGES SPÉCIAUX, N.D.A.</v>
      </c>
      <c r="C8872">
        <v>1045533</v>
      </c>
      <c r="D8872">
        <v>760</v>
      </c>
    </row>
    <row r="8873" spans="1:4" x14ac:dyDescent="0.25">
      <c r="A8873" t="str">
        <f>T("   870880")</f>
        <v xml:space="preserve">   870880</v>
      </c>
      <c r="B8873" t="s">
        <v>495</v>
      </c>
      <c r="C8873">
        <v>269500</v>
      </c>
      <c r="D8873">
        <v>1400</v>
      </c>
    </row>
    <row r="8874" spans="1:4" x14ac:dyDescent="0.25">
      <c r="A8874" t="str">
        <f>T("   870891")</f>
        <v xml:space="preserve">   870891</v>
      </c>
      <c r="B8874" t="str">
        <f>T("   RADIATEURS ET LEURS PARTIES, POUR TRACTEURS, VÉHICULES POUR LE TRANSPORT DE &gt;= 10 PERSONNES, CHAUFFEUR INCLUS, VOITURES DE TOURISME, VÉHICULES POUR LE TRANSPORT DE MARCHANDISES ET VÉHICULES À USAGES SPÉCIAUX, N.D.A.")</f>
        <v xml:space="preserve">   RADIATEURS ET LEURS PARTIES, POUR TRACTEURS, VÉHICULES POUR LE TRANSPORT DE &gt;= 10 PERSONNES, CHAUFFEUR INCLUS, VOITURES DE TOURISME, VÉHICULES POUR LE TRANSPORT DE MARCHANDISES ET VÉHICULES À USAGES SPÉCIAUX, N.D.A.</v>
      </c>
      <c r="C8874">
        <v>160000</v>
      </c>
      <c r="D8874">
        <v>100</v>
      </c>
    </row>
    <row r="8875" spans="1:4" x14ac:dyDescent="0.25">
      <c r="A8875" t="str">
        <f>T("   870892")</f>
        <v xml:space="preserve">   870892</v>
      </c>
      <c r="B8875" t="str">
        <f>T("   SILENCIEUX ET TUYAUX D'ÉCHAPPEMENT AINSI QUE LEURS PARTIES, POUR TRACTEURS, VÉHICULES POUR LE TRANSPORT DE &gt;= 10 PERSONNES, CHAUFFEUR INCLUS, VOITURES DE TOURISME, VÉHICULES POUR LE TRANSPORT DE MARCHANDISES ET VÉHICULES À USAGES SPÉCIAUX, N.D.A.")</f>
        <v xml:space="preserve">   SILENCIEUX ET TUYAUX D'ÉCHAPPEMENT AINSI QUE LEURS PARTIES, POUR TRACTEURS, VÉHICULES POUR LE TRANSPORT DE &gt;= 10 PERSONNES, CHAUFFEUR INCLUS, VOITURES DE TOURISME, VÉHICULES POUR LE TRANSPORT DE MARCHANDISES ET VÉHICULES À USAGES SPÉCIAUX, N.D.A.</v>
      </c>
      <c r="C8875">
        <v>32000</v>
      </c>
      <c r="D8875">
        <v>20</v>
      </c>
    </row>
    <row r="8876" spans="1:4" x14ac:dyDescent="0.25">
      <c r="A8876" t="str">
        <f>T("   870899")</f>
        <v xml:space="preserve">   870899</v>
      </c>
      <c r="B8876"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8876">
        <v>226473741</v>
      </c>
      <c r="D8876">
        <v>195364</v>
      </c>
    </row>
    <row r="8877" spans="1:4" x14ac:dyDescent="0.25">
      <c r="A8877" t="str">
        <f>T("   871110")</f>
        <v xml:space="preserve">   871110</v>
      </c>
      <c r="B8877" t="str">
        <f>T("   Cyclomoteurs, à moteur à piston alternatif, cylindrée &lt;= 50 cm³, y.c. cycles à moteur auxiliaire")</f>
        <v xml:space="preserve">   Cyclomoteurs, à moteur à piston alternatif, cylindrée &lt;= 50 cm³, y.c. cycles à moteur auxiliaire</v>
      </c>
      <c r="C8877">
        <v>55000</v>
      </c>
      <c r="D8877">
        <v>88</v>
      </c>
    </row>
    <row r="8878" spans="1:4" x14ac:dyDescent="0.25">
      <c r="A8878" t="str">
        <f>T("   871120")</f>
        <v xml:space="preserve">   871120</v>
      </c>
      <c r="B8878" t="str">
        <f>T("   Motocycles à moteur à piston alternatif, cylindrée &gt; 50 cm³ mais &lt;= 250 cm³")</f>
        <v xml:space="preserve">   Motocycles à moteur à piston alternatif, cylindrée &gt; 50 cm³ mais &lt;= 250 cm³</v>
      </c>
      <c r="C8878">
        <v>1796932000</v>
      </c>
      <c r="D8878">
        <v>984483</v>
      </c>
    </row>
    <row r="8879" spans="1:4" x14ac:dyDescent="0.25">
      <c r="A8879" t="str">
        <f>T("   871130")</f>
        <v xml:space="preserve">   871130</v>
      </c>
      <c r="B8879" t="str">
        <f>T("   Motocycles à moteur à piston alternatif, cylindrée &gt; 250 cm³ mais &lt;= 500 cm³")</f>
        <v xml:space="preserve">   Motocycles à moteur à piston alternatif, cylindrée &gt; 250 cm³ mais &lt;= 500 cm³</v>
      </c>
      <c r="C8879">
        <v>1400000</v>
      </c>
      <c r="D8879">
        <v>650</v>
      </c>
    </row>
    <row r="8880" spans="1:4" x14ac:dyDescent="0.25">
      <c r="A8880" t="str">
        <f>T("   871200")</f>
        <v xml:space="preserve">   871200</v>
      </c>
      <c r="B8880" t="str">
        <f>T("   BICYCLETTES ET AUTRES CYCLES, -Y.C. LES TRIPORTEURS-, SANS MOTEUR")</f>
        <v xml:space="preserve">   BICYCLETTES ET AUTRES CYCLES, -Y.C. LES TRIPORTEURS-, SANS MOTEUR</v>
      </c>
      <c r="C8880">
        <v>1858500</v>
      </c>
      <c r="D8880">
        <v>1010</v>
      </c>
    </row>
    <row r="8881" spans="1:4" x14ac:dyDescent="0.25">
      <c r="A8881" t="str">
        <f>T("   871419")</f>
        <v xml:space="preserve">   871419</v>
      </c>
      <c r="B8881" t="str">
        <f>T("   Parties et accessoires de motocycles, y.c. de cyclomoteurs, n.d.a.")</f>
        <v xml:space="preserve">   Parties et accessoires de motocycles, y.c. de cyclomoteurs, n.d.a.</v>
      </c>
      <c r="C8881">
        <v>201213925</v>
      </c>
      <c r="D8881">
        <v>196278</v>
      </c>
    </row>
    <row r="8882" spans="1:4" x14ac:dyDescent="0.25">
      <c r="A8882" t="str">
        <f>T("   871492")</f>
        <v xml:space="preserve">   871492</v>
      </c>
      <c r="B8882" t="str">
        <f>T("   Jantes et rayons, de bicyclettes")</f>
        <v xml:space="preserve">   Jantes et rayons, de bicyclettes</v>
      </c>
      <c r="C8882">
        <v>2483053</v>
      </c>
      <c r="D8882">
        <v>2705</v>
      </c>
    </row>
    <row r="8883" spans="1:4" x14ac:dyDescent="0.25">
      <c r="A8883" t="str">
        <f>T("   871496")</f>
        <v xml:space="preserve">   871496</v>
      </c>
      <c r="B8883" t="str">
        <f>T("   Pédales et pédaliers, et leurs parties, de bicyclettes, n.d.a.")</f>
        <v xml:space="preserve">   Pédales et pédaliers, et leurs parties, de bicyclettes, n.d.a.</v>
      </c>
      <c r="C8883">
        <v>25000</v>
      </c>
      <c r="D8883">
        <v>50</v>
      </c>
    </row>
    <row r="8884" spans="1:4" x14ac:dyDescent="0.25">
      <c r="A8884" t="str">
        <f>T("   871499")</f>
        <v xml:space="preserve">   871499</v>
      </c>
      <c r="B8884" t="str">
        <f>T("   Parties et accessoires, de bicyclettes, n.d.a.")</f>
        <v xml:space="preserve">   Parties et accessoires, de bicyclettes, n.d.a.</v>
      </c>
      <c r="C8884">
        <v>969783</v>
      </c>
      <c r="D8884">
        <v>1291</v>
      </c>
    </row>
    <row r="8885" spans="1:4" x14ac:dyDescent="0.25">
      <c r="A8885" t="str">
        <f>T("   890399")</f>
        <v xml:space="preserve">   890399</v>
      </c>
      <c r="B8885" t="str">
        <f>T("   Bateaux, de plaisance ou de sport (sauf bateaux à moteur autre qu' à moteur hors-bord, bateaux à voile, même avec moteur auxiliaire, et bateaux gonflables); bateaux à rames et canoës")</f>
        <v xml:space="preserve">   Bateaux, de plaisance ou de sport (sauf bateaux à moteur autre qu' à moteur hors-bord, bateaux à voile, même avec moteur auxiliaire, et bateaux gonflables); bateaux à rames et canoës</v>
      </c>
      <c r="C8885">
        <v>60000</v>
      </c>
      <c r="D8885">
        <v>100</v>
      </c>
    </row>
    <row r="8886" spans="1:4" x14ac:dyDescent="0.25">
      <c r="A8886" t="str">
        <f>T("   900410")</f>
        <v xml:space="preserve">   900410</v>
      </c>
      <c r="B8886" t="str">
        <f>T("   Lunettes solaires")</f>
        <v xml:space="preserve">   Lunettes solaires</v>
      </c>
      <c r="C8886">
        <v>269503</v>
      </c>
      <c r="D8886">
        <v>337</v>
      </c>
    </row>
    <row r="8887" spans="1:4" x14ac:dyDescent="0.25">
      <c r="A8887" t="str">
        <f>T("   900490")</f>
        <v xml:space="preserve">   900490</v>
      </c>
      <c r="B8887" t="str">
        <f>T("   Lunettes correctrices, protectrices ou autres et articles simil. (à l'excl. des lunettes pour tests visuels, des lunettes solaires, des verres de contact, des verres de lunetterie et des montures de lunettes)")</f>
        <v xml:space="preserve">   Lunettes correctrices, protectrices ou autres et articles simil. (à l'excl. des lunettes pour tests visuels, des lunettes solaires, des verres de contact, des verres de lunetterie et des montures de lunettes)</v>
      </c>
      <c r="C8887">
        <v>47500</v>
      </c>
      <c r="D8887">
        <v>25</v>
      </c>
    </row>
    <row r="8888" spans="1:4" x14ac:dyDescent="0.25">
      <c r="A8888" t="str">
        <f>T("   900691")</f>
        <v xml:space="preserve">   900691</v>
      </c>
      <c r="B8888" t="str">
        <f>T("   Parties et accessoires d'appareils photographiques, n.d.a.")</f>
        <v xml:space="preserve">   Parties et accessoires d'appareils photographiques, n.d.a.</v>
      </c>
      <c r="C8888">
        <v>15000</v>
      </c>
      <c r="D8888">
        <v>5</v>
      </c>
    </row>
    <row r="8889" spans="1:4" x14ac:dyDescent="0.25">
      <c r="A8889" t="str">
        <f>T("   900699")</f>
        <v xml:space="preserve">   900699</v>
      </c>
      <c r="B8889" t="str">
        <f>T("   Parties et accessoires des appareils et dispositifs pour la production de la lumière-éclair en photographie, n.d.a.")</f>
        <v xml:space="preserve">   Parties et accessoires des appareils et dispositifs pour la production de la lumière-éclair en photographie, n.d.a.</v>
      </c>
      <c r="C8889">
        <v>60000</v>
      </c>
      <c r="D8889">
        <v>50</v>
      </c>
    </row>
    <row r="8890" spans="1:4" x14ac:dyDescent="0.25">
      <c r="A8890" t="str">
        <f>T("   900921")</f>
        <v xml:space="preserve">   900921</v>
      </c>
      <c r="B8890" t="str">
        <f>T("   Appareils de photocopie à système optique (autres qu'électrostatiques)")</f>
        <v xml:space="preserve">   Appareils de photocopie à système optique (autres qu'électrostatiques)</v>
      </c>
      <c r="C8890">
        <v>3496400</v>
      </c>
      <c r="D8890">
        <v>1780</v>
      </c>
    </row>
    <row r="8891" spans="1:4" x14ac:dyDescent="0.25">
      <c r="A8891" t="str">
        <f>T("   901890")</f>
        <v xml:space="preserve">   901890</v>
      </c>
      <c r="B8891" t="str">
        <f>T("   Instruments et appareils pour la médecine, la chirurgie ou l'art vétérinaire, n.d.a.")</f>
        <v xml:space="preserve">   Instruments et appareils pour la médecine, la chirurgie ou l'art vétérinaire, n.d.a.</v>
      </c>
      <c r="C8891">
        <v>300000</v>
      </c>
      <c r="D8891">
        <v>152</v>
      </c>
    </row>
    <row r="8892" spans="1:4" x14ac:dyDescent="0.25">
      <c r="A8892" t="str">
        <f>T("   910211")</f>
        <v xml:space="preserve">   910211</v>
      </c>
      <c r="B8892" t="str">
        <f>T("   Montres-bracelets, même incorporant un compteur de temps, fonctionnant électriquement, à affichage mécanique seulement (autres que celles en métaux précieux ou en plaqués ou doublés de métaux précieux)")</f>
        <v xml:space="preserve">   Montres-bracelets, même incorporant un compteur de temps, fonctionnant électriquement, à affichage mécanique seulement (autres que celles en métaux précieux ou en plaqués ou doublés de métaux précieux)</v>
      </c>
      <c r="C8892">
        <v>2550000</v>
      </c>
      <c r="D8892">
        <v>270</v>
      </c>
    </row>
    <row r="8893" spans="1:4" x14ac:dyDescent="0.25">
      <c r="A8893" t="str">
        <f>T("   910212")</f>
        <v xml:space="preserve">   910212</v>
      </c>
      <c r="B8893" t="str">
        <f>T("   Montres-bracelets, même incorporant un compteur de temps, fonctionnant électriquement, à affichage optoélectronique seulement (autres que celles en métaux précieux ou en plaqués ou doublés de métaux précieux)")</f>
        <v xml:space="preserve">   Montres-bracelets, même incorporant un compteur de temps, fonctionnant électriquement, à affichage optoélectronique seulement (autres que celles en métaux précieux ou en plaqués ou doublés de métaux précieux)</v>
      </c>
      <c r="C8893">
        <v>3102400</v>
      </c>
      <c r="D8893">
        <v>1902</v>
      </c>
    </row>
    <row r="8894" spans="1:4" x14ac:dyDescent="0.25">
      <c r="A8894" t="str">
        <f>T("   910521")</f>
        <v xml:space="preserve">   910521</v>
      </c>
      <c r="B8894" t="str">
        <f>T("   PENDULES ET HORLOGES, MURALES, FONCTIONNANT ÉLECTRIQUEMENT [01/01/1988-31/12/1994: PENDULES ET HORLOGES MURALES, A PILE OU A ACCUMULATEUR OU FONCTIONNANT SUR SECTEUR]")</f>
        <v xml:space="preserve">   PENDULES ET HORLOGES, MURALES, FONCTIONNANT ÉLECTRIQUEMENT [01/01/1988-31/12/1994: PENDULES ET HORLOGES MURALES, A PILE OU A ACCUMULATEUR OU FONCTIONNANT SUR SECTEUR]</v>
      </c>
      <c r="C8894">
        <v>103000</v>
      </c>
      <c r="D8894">
        <v>100</v>
      </c>
    </row>
    <row r="8895" spans="1:4" x14ac:dyDescent="0.25">
      <c r="A8895" t="str">
        <f>T("   910529")</f>
        <v xml:space="preserve">   910529</v>
      </c>
      <c r="B8895" t="str">
        <f>T("   Pendules et horloges murales ne fonctionnant pas électriquement")</f>
        <v xml:space="preserve">   Pendules et horloges murales ne fonctionnant pas électriquement</v>
      </c>
      <c r="C8895">
        <v>160000</v>
      </c>
      <c r="D8895">
        <v>30</v>
      </c>
    </row>
    <row r="8896" spans="1:4" x14ac:dyDescent="0.25">
      <c r="A8896" t="str">
        <f>T("   920110")</f>
        <v xml:space="preserve">   920110</v>
      </c>
      <c r="B8896" t="str">
        <f>T("   Pianos droits")</f>
        <v xml:space="preserve">   Pianos droits</v>
      </c>
      <c r="C8896">
        <v>180000</v>
      </c>
      <c r="D8896">
        <v>20</v>
      </c>
    </row>
    <row r="8897" spans="1:4" x14ac:dyDescent="0.25">
      <c r="A8897" t="str">
        <f>T("   920600")</f>
        <v xml:space="preserve">   920600</v>
      </c>
      <c r="B8897" t="str">
        <f>T("   INSTRUMENTS DE MUSIQUE À PERCUSSION, P.EX. TAMBOURS, CAISSES, XYLOPHONES, CYMBALES, CASTAGNETTES, MARACAS [01/01/1988-31/12/1994: TAMBOURS, CAISSES, XYLOPHONES, CYMBALES, CASTAGNETTES, MARACAS ET AUTRES INSTRUMENTS DE MUSIQUE A PERCUSSION]")</f>
        <v xml:space="preserve">   INSTRUMENTS DE MUSIQUE À PERCUSSION, P.EX. TAMBOURS, CAISSES, XYLOPHONES, CYMBALES, CASTAGNETTES, MARACAS [01/01/1988-31/12/1994: TAMBOURS, CAISSES, XYLOPHONES, CYMBALES, CASTAGNETTES, MARACAS ET AUTRES INSTRUMENTS DE MUSIQUE A PERCUSSION]</v>
      </c>
      <c r="C8897">
        <v>112000</v>
      </c>
      <c r="D8897">
        <v>50</v>
      </c>
    </row>
    <row r="8898" spans="1:4" x14ac:dyDescent="0.25">
      <c r="A8898" t="str">
        <f>T("   920790")</f>
        <v xml:space="preserve">   920790</v>
      </c>
      <c r="B8898" t="str">
        <f>T("   Accordéons électriques et autres instruments de musique électriques")</f>
        <v xml:space="preserve">   Accordéons électriques et autres instruments de musique électriques</v>
      </c>
      <c r="C8898">
        <v>11317061</v>
      </c>
      <c r="D8898">
        <v>1000</v>
      </c>
    </row>
    <row r="8899" spans="1:4" x14ac:dyDescent="0.25">
      <c r="A8899" t="str">
        <f>T("   940130")</f>
        <v xml:space="preserve">   940130</v>
      </c>
      <c r="B8899" t="str">
        <f>T("   Sièges pivotants, ajustables en hauteur (à l'excl. de ceux pour la médecine, la chirurgie, l'art dentaire ou vétérinaire, ainsi que des fauteuils pour salons de coiffure)")</f>
        <v xml:space="preserve">   Sièges pivotants, ajustables en hauteur (à l'excl. de ceux pour la médecine, la chirurgie, l'art dentaire ou vétérinaire, ainsi que des fauteuils pour salons de coiffure)</v>
      </c>
      <c r="C8899">
        <v>1942792</v>
      </c>
      <c r="D8899">
        <v>520</v>
      </c>
    </row>
    <row r="8900" spans="1:4" x14ac:dyDescent="0.25">
      <c r="A8900" t="str">
        <f>T("   940161")</f>
        <v xml:space="preserve">   940161</v>
      </c>
      <c r="B8900" t="str">
        <f>T("   Sièges, avec bâti en bois, rembourrés (non transformables en lits)")</f>
        <v xml:space="preserve">   Sièges, avec bâti en bois, rembourrés (non transformables en lits)</v>
      </c>
      <c r="C8900">
        <v>301922940</v>
      </c>
      <c r="D8900">
        <v>89399</v>
      </c>
    </row>
    <row r="8901" spans="1:4" x14ac:dyDescent="0.25">
      <c r="A8901" t="str">
        <f>T("   940171")</f>
        <v xml:space="preserve">   940171</v>
      </c>
      <c r="B8901" t="str">
        <f>T("   Sièges, avec bâti en métal, rembourrés (autres que pour véhicules aériens ou automobiles, autres que fauteuils pivotants ajustables en hauteur et autres que pour la médecine, l'art dentaire ou la chirurgie)")</f>
        <v xml:space="preserve">   Sièges, avec bâti en métal, rembourrés (autres que pour véhicules aériens ou automobiles, autres que fauteuils pivotants ajustables en hauteur et autres que pour la médecine, l'art dentaire ou la chirurgie)</v>
      </c>
      <c r="C8901">
        <v>11079165</v>
      </c>
      <c r="D8901">
        <v>1520</v>
      </c>
    </row>
    <row r="8902" spans="1:4" x14ac:dyDescent="0.25">
      <c r="A8902" t="str">
        <f>T("   940179")</f>
        <v xml:space="preserve">   940179</v>
      </c>
      <c r="B8902" t="str">
        <f>T("   Sièges, avec bâti en métal non rembourrés (autres que fauteuils pivotants ajustables en hauteur et autres que pour la médecine, l'art dentaire ou la chirurgie)")</f>
        <v xml:space="preserve">   Sièges, avec bâti en métal non rembourrés (autres que fauteuils pivotants ajustables en hauteur et autres que pour la médecine, l'art dentaire ou la chirurgie)</v>
      </c>
      <c r="C8902">
        <v>576000</v>
      </c>
      <c r="D8902">
        <v>150</v>
      </c>
    </row>
    <row r="8903" spans="1:4" x14ac:dyDescent="0.25">
      <c r="A8903" t="str">
        <f>T("   940180")</f>
        <v xml:space="preserve">   940180</v>
      </c>
      <c r="B8903" t="str">
        <f>T("   Sièges, n.d.a.")</f>
        <v xml:space="preserve">   Sièges, n.d.a.</v>
      </c>
      <c r="C8903">
        <v>21590204</v>
      </c>
      <c r="D8903">
        <v>98193</v>
      </c>
    </row>
    <row r="8904" spans="1:4" x14ac:dyDescent="0.25">
      <c r="A8904" t="str">
        <f>T("   940210")</f>
        <v xml:space="preserve">   940210</v>
      </c>
      <c r="B8904" t="str">
        <f>T("   Fauteuils de dentistes, fauteuils pour salons de coiffure et fauteuils simil., avec dispositif à la fois d'orientation et d'élévation, et leurs parties, n.d.a.")</f>
        <v xml:space="preserve">   Fauteuils de dentistes, fauteuils pour salons de coiffure et fauteuils simil., avec dispositif à la fois d'orientation et d'élévation, et leurs parties, n.d.a.</v>
      </c>
      <c r="C8904">
        <v>421854</v>
      </c>
      <c r="D8904">
        <v>100</v>
      </c>
    </row>
    <row r="8905" spans="1:4" x14ac:dyDescent="0.25">
      <c r="A8905" t="str">
        <f>T("   940310")</f>
        <v xml:space="preserve">   940310</v>
      </c>
      <c r="B8905" t="str">
        <f>T("   Meubles de bureau en métal (sauf sièges)")</f>
        <v xml:space="preserve">   Meubles de bureau en métal (sauf sièges)</v>
      </c>
      <c r="C8905">
        <v>684000</v>
      </c>
      <c r="D8905">
        <v>120</v>
      </c>
    </row>
    <row r="8906" spans="1:4" x14ac:dyDescent="0.25">
      <c r="A8906" t="str">
        <f>T("   940320")</f>
        <v xml:space="preserve">   940320</v>
      </c>
      <c r="B8906"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8906">
        <v>1048700</v>
      </c>
      <c r="D8906">
        <v>480</v>
      </c>
    </row>
    <row r="8907" spans="1:4" x14ac:dyDescent="0.25">
      <c r="A8907" t="str">
        <f>T("   940330")</f>
        <v xml:space="preserve">   940330</v>
      </c>
      <c r="B8907" t="str">
        <f>T("   Meubles de bureau en bois (sauf sièges)")</f>
        <v xml:space="preserve">   Meubles de bureau en bois (sauf sièges)</v>
      </c>
      <c r="C8907">
        <v>8857324</v>
      </c>
      <c r="D8907">
        <v>6580</v>
      </c>
    </row>
    <row r="8908" spans="1:4" x14ac:dyDescent="0.25">
      <c r="A8908" t="str">
        <f>T("   940340")</f>
        <v xml:space="preserve">   940340</v>
      </c>
      <c r="B8908" t="str">
        <f>T("   Meubles de cuisine, en bois (sauf sièges)")</f>
        <v xml:space="preserve">   Meubles de cuisine, en bois (sauf sièges)</v>
      </c>
      <c r="C8908">
        <v>14298245</v>
      </c>
      <c r="D8908">
        <v>11240</v>
      </c>
    </row>
    <row r="8909" spans="1:4" x14ac:dyDescent="0.25">
      <c r="A8909" t="str">
        <f>T("   940350")</f>
        <v xml:space="preserve">   940350</v>
      </c>
      <c r="B8909" t="str">
        <f>T("   Meubles pour chambres à coucher, en bois (sauf sièges)")</f>
        <v xml:space="preserve">   Meubles pour chambres à coucher, en bois (sauf sièges)</v>
      </c>
      <c r="C8909">
        <v>18814440</v>
      </c>
      <c r="D8909">
        <v>12566</v>
      </c>
    </row>
    <row r="8910" spans="1:4" x14ac:dyDescent="0.25">
      <c r="A8910" t="str">
        <f>T("   940360")</f>
        <v xml:space="preserve">   940360</v>
      </c>
      <c r="B8910" t="str">
        <f>T("   Meubles en bois (autres que pour bureaux, cuisines ou chambres à coucher et autres que sièges)")</f>
        <v xml:space="preserve">   Meubles en bois (autres que pour bureaux, cuisines ou chambres à coucher et autres que sièges)</v>
      </c>
      <c r="C8910">
        <v>51255910</v>
      </c>
      <c r="D8910">
        <v>24922</v>
      </c>
    </row>
    <row r="8911" spans="1:4" x14ac:dyDescent="0.25">
      <c r="A8911" t="str">
        <f>T("   940370")</f>
        <v xml:space="preserve">   940370</v>
      </c>
      <c r="B8911" t="str">
        <f>T("   Meubles en matières plastiques (autres que pour la médecine, l'art dentaire et vétérinaire, la chirurgie et autres que sièges)")</f>
        <v xml:space="preserve">   Meubles en matières plastiques (autres que pour la médecine, l'art dentaire et vétérinaire, la chirurgie et autres que sièges)</v>
      </c>
      <c r="C8911">
        <v>3465421</v>
      </c>
      <c r="D8911">
        <v>15438</v>
      </c>
    </row>
    <row r="8912" spans="1:4" x14ac:dyDescent="0.25">
      <c r="A8912" t="str">
        <f>T("   940390")</f>
        <v xml:space="preserve">   940390</v>
      </c>
      <c r="B8912" t="str">
        <f>T("   PARTIES DE MEUBLES, N.D.A. (AUTRES QUE DE SIÈGES ET MOBILIER POUR LA MÉDECINE, L'ART DENTAIRE ET VÉTÉRINAIRE OU LA CHIRURGIE)")</f>
        <v xml:space="preserve">   PARTIES DE MEUBLES, N.D.A. (AUTRES QUE DE SIÈGES ET MOBILIER POUR LA MÉDECINE, L'ART DENTAIRE ET VÉTÉRINAIRE OU LA CHIRURGIE)</v>
      </c>
      <c r="C8912">
        <v>280000</v>
      </c>
      <c r="D8912">
        <v>300</v>
      </c>
    </row>
    <row r="8913" spans="1:4" x14ac:dyDescent="0.25">
      <c r="A8913" t="str">
        <f>T("   940410")</f>
        <v xml:space="preserve">   940410</v>
      </c>
      <c r="B8913" t="str">
        <f>T("   Sommiers (sauf ressorts pour sièges)")</f>
        <v xml:space="preserve">   Sommiers (sauf ressorts pour sièges)</v>
      </c>
      <c r="C8913">
        <v>36000</v>
      </c>
      <c r="D8913">
        <v>45</v>
      </c>
    </row>
    <row r="8914" spans="1:4" x14ac:dyDescent="0.25">
      <c r="A8914" t="str">
        <f>T("   940429")</f>
        <v xml:space="preserve">   940429</v>
      </c>
      <c r="B8914" t="str">
        <f>T("   Matelas à ressorts ou rembourrés, ou garnis intérieurement de matières autres que le caoutchouc alvéolaire ou les matières plastiques alvéolaires (sauf matelas à eau, matelas pneumatiques et oreillers)")</f>
        <v xml:space="preserve">   Matelas à ressorts ou rembourrés, ou garnis intérieurement de matières autres que le caoutchouc alvéolaire ou les matières plastiques alvéolaires (sauf matelas à eau, matelas pneumatiques et oreillers)</v>
      </c>
      <c r="C8914">
        <v>32000</v>
      </c>
      <c r="D8914">
        <v>300</v>
      </c>
    </row>
    <row r="8915" spans="1:4" x14ac:dyDescent="0.25">
      <c r="A8915" t="str">
        <f>T("   940530")</f>
        <v xml:space="preserve">   940530</v>
      </c>
      <c r="B8915" t="str">
        <f>T("   GUIRLANDES ÉLECTRIQUES POUR ARBRES DE NOÙL")</f>
        <v xml:space="preserve">   GUIRLANDES ÉLECTRIQUES POUR ARBRES DE NOÙL</v>
      </c>
      <c r="C8915">
        <v>228000</v>
      </c>
      <c r="D8915">
        <v>190</v>
      </c>
    </row>
    <row r="8916" spans="1:4" x14ac:dyDescent="0.25">
      <c r="A8916" t="str">
        <f>T("   940540")</f>
        <v xml:space="preserve">   940540</v>
      </c>
      <c r="B8916" t="str">
        <f>T("   Appareils d'éclairage électrique, n.d.a.")</f>
        <v xml:space="preserve">   Appareils d'éclairage électrique, n.d.a.</v>
      </c>
      <c r="C8916">
        <v>2085797</v>
      </c>
      <c r="D8916">
        <v>5525</v>
      </c>
    </row>
    <row r="8917" spans="1:4" x14ac:dyDescent="0.25">
      <c r="A8917" t="str">
        <f>T("   940550")</f>
        <v xml:space="preserve">   940550</v>
      </c>
      <c r="B8917" t="str">
        <f>T("   Appareils d'éclairage non-électriques, n.d.a.")</f>
        <v xml:space="preserve">   Appareils d'éclairage non-électriques, n.d.a.</v>
      </c>
      <c r="C8917">
        <v>4107164</v>
      </c>
      <c r="D8917">
        <v>3187</v>
      </c>
    </row>
    <row r="8918" spans="1:4" x14ac:dyDescent="0.25">
      <c r="A8918" t="str">
        <f>T("   940560")</f>
        <v xml:space="preserve">   940560</v>
      </c>
      <c r="B8918" t="str">
        <f>T("   Lampes-réclames, enseignes lumineuses, plaques indicatrices lumineuses et articles simil., possédant une source d'éclairage fixée à demeure")</f>
        <v xml:space="preserve">   Lampes-réclames, enseignes lumineuses, plaques indicatrices lumineuses et articles simil., possédant une source d'éclairage fixée à demeure</v>
      </c>
      <c r="C8918">
        <v>100000</v>
      </c>
      <c r="D8918">
        <v>50</v>
      </c>
    </row>
    <row r="8919" spans="1:4" x14ac:dyDescent="0.25">
      <c r="A8919" t="str">
        <f>T("   940591")</f>
        <v xml:space="preserve">   940591</v>
      </c>
      <c r="B8919" t="str">
        <f>T("   Parties en verres d'appareils d'éclairage, de lampes-réclames, d'enseignes lumineuses, de plaques indicatrices lumineuses, et simil., n.d.a.")</f>
        <v xml:space="preserve">   Parties en verres d'appareils d'éclairage, de lampes-réclames, d'enseignes lumineuses, de plaques indicatrices lumineuses, et simil., n.d.a.</v>
      </c>
      <c r="C8919">
        <v>1009541</v>
      </c>
      <c r="D8919">
        <v>1690</v>
      </c>
    </row>
    <row r="8920" spans="1:4" x14ac:dyDescent="0.25">
      <c r="A8920" t="str">
        <f>T("   950100")</f>
        <v xml:space="preserve">   950100</v>
      </c>
      <c r="B8920" t="str">
        <f>T("   JOUETS À ROUES CONÇUS POUR ÊTRE MONTÉS PAR LES ENFANTS, P.EX. TRICYCLES, TROTTINETTES, AUTOS À PÉDALES (À L'EXCL. DES CYCLES HABITUELS AVEC ROULEMENT À BILLES); LANDAUS ET POUSSETTES POUR POUPÉES")</f>
        <v xml:space="preserve">   JOUETS À ROUES CONÇUS POUR ÊTRE MONTÉS PAR LES ENFANTS, P.EX. TRICYCLES, TROTTINETTES, AUTOS À PÉDALES (À L'EXCL. DES CYCLES HABITUELS AVEC ROULEMENT À BILLES); LANDAUS ET POUSSETTES POUR POUPÉES</v>
      </c>
      <c r="C8920">
        <v>110250</v>
      </c>
      <c r="D8920">
        <v>70</v>
      </c>
    </row>
    <row r="8921" spans="1:4" x14ac:dyDescent="0.25">
      <c r="A8921" t="str">
        <f>T("   950350")</f>
        <v xml:space="preserve">   950350</v>
      </c>
      <c r="B8921" t="str">
        <f>T("   INSTRUMENTS ET APPAREILS DE MUSIQUE-JOUETS")</f>
        <v xml:space="preserve">   INSTRUMENTS ET APPAREILS DE MUSIQUE-JOUETS</v>
      </c>
      <c r="C8921">
        <v>533311</v>
      </c>
      <c r="D8921">
        <v>30</v>
      </c>
    </row>
    <row r="8922" spans="1:4" x14ac:dyDescent="0.25">
      <c r="A8922" t="str">
        <f>T("   950390")</f>
        <v xml:space="preserve">   950390</v>
      </c>
      <c r="B8922" t="str">
        <f>T("   Jouets, n.d.a.")</f>
        <v xml:space="preserve">   Jouets, n.d.a.</v>
      </c>
      <c r="C8922">
        <v>279250</v>
      </c>
      <c r="D8922">
        <v>378</v>
      </c>
    </row>
    <row r="8923" spans="1:4" x14ac:dyDescent="0.25">
      <c r="A8923" t="str">
        <f>T("   950430")</f>
        <v xml:space="preserve">   950430</v>
      </c>
      <c r="B8923" t="s">
        <v>515</v>
      </c>
      <c r="C8923">
        <v>1011472</v>
      </c>
      <c r="D8923">
        <v>100</v>
      </c>
    </row>
    <row r="8924" spans="1:4" x14ac:dyDescent="0.25">
      <c r="A8924" t="str">
        <f>T("   950510")</f>
        <v xml:space="preserve">   950510</v>
      </c>
      <c r="B8924" t="str">
        <f>T("   Articles pour fêtes de Noël (sauf bougies et guirlandes électriques)")</f>
        <v xml:space="preserve">   Articles pour fêtes de Noël (sauf bougies et guirlandes électriques)</v>
      </c>
      <c r="C8924">
        <v>227625</v>
      </c>
      <c r="D8924">
        <v>190</v>
      </c>
    </row>
    <row r="8925" spans="1:4" x14ac:dyDescent="0.25">
      <c r="A8925" t="str">
        <f>T("   950590")</f>
        <v xml:space="preserve">   950590</v>
      </c>
      <c r="B8925" t="str">
        <f>T("   Articles pour fêtes, carnaval ou autres divertissements, y.c. les articles de magie et articles-surprises, n.d.a.")</f>
        <v xml:space="preserve">   Articles pour fêtes, carnaval ou autres divertissements, y.c. les articles de magie et articles-surprises, n.d.a.</v>
      </c>
      <c r="C8925">
        <v>1711033</v>
      </c>
      <c r="D8925">
        <v>1644</v>
      </c>
    </row>
    <row r="8926" spans="1:4" x14ac:dyDescent="0.25">
      <c r="A8926" t="str">
        <f>T("   950640")</f>
        <v xml:space="preserve">   950640</v>
      </c>
      <c r="B8926" t="str">
        <f>T("   Articles et matériel pour le tennis de table")</f>
        <v xml:space="preserve">   Articles et matériel pour le tennis de table</v>
      </c>
      <c r="C8926">
        <v>75768</v>
      </c>
      <c r="D8926">
        <v>50</v>
      </c>
    </row>
    <row r="8927" spans="1:4" x14ac:dyDescent="0.25">
      <c r="A8927" t="str">
        <f>T("   950669")</f>
        <v xml:space="preserve">   950669</v>
      </c>
      <c r="B8927" t="str">
        <f>T("   Ballons et balles (autres que gonflables et autres que balles de golf ou de tennis de table)")</f>
        <v xml:space="preserve">   Ballons et balles (autres que gonflables et autres que balles de golf ou de tennis de table)</v>
      </c>
      <c r="C8927">
        <v>258300</v>
      </c>
      <c r="D8927">
        <v>473</v>
      </c>
    </row>
    <row r="8928" spans="1:4" x14ac:dyDescent="0.25">
      <c r="A8928" t="str">
        <f>T("   960310")</f>
        <v xml:space="preserve">   960310</v>
      </c>
      <c r="B8928" t="str">
        <f>T("   Balais et balayettes consistant en matières végétales en bottes liées")</f>
        <v xml:space="preserve">   Balais et balayettes consistant en matières végétales en bottes liées</v>
      </c>
      <c r="C8928">
        <v>110000</v>
      </c>
      <c r="D8928">
        <v>105</v>
      </c>
    </row>
    <row r="8929" spans="1:4" x14ac:dyDescent="0.25">
      <c r="A8929" t="str">
        <f>T("   960321")</f>
        <v xml:space="preserve">   960321</v>
      </c>
      <c r="B8929" t="str">
        <f>T("   Brosses à dent, y.c. brosses à prothèses dentaires")</f>
        <v xml:space="preserve">   Brosses à dent, y.c. brosses à prothèses dentaires</v>
      </c>
      <c r="C8929">
        <v>397547</v>
      </c>
      <c r="D8929">
        <v>363</v>
      </c>
    </row>
    <row r="8930" spans="1:4" x14ac:dyDescent="0.25">
      <c r="A8930" t="str">
        <f>T("   960390")</f>
        <v xml:space="preserve">   960390</v>
      </c>
      <c r="B8930" t="str">
        <f>T("   ARTICLES DE BROSSERIE (SAUF DU N° 9603.10 À 9603.50), P.EX. TÊTES PRÉPARÉES POUR ARTICLES DE BROSSERIE ET RACLETTES EN CAOUTCHOUC OU EN MATIÈRES SOUPLES ANALOGUES")</f>
        <v xml:space="preserve">   ARTICLES DE BROSSERIE (SAUF DU N° 9603.10 À 9603.50), P.EX. TÊTES PRÉPARÉES POUR ARTICLES DE BROSSERIE ET RACLETTES EN CAOUTCHOUC OU EN MATIÈRES SOUPLES ANALOGUES</v>
      </c>
      <c r="C8930">
        <v>15000</v>
      </c>
      <c r="D8930">
        <v>20</v>
      </c>
    </row>
    <row r="8931" spans="1:4" x14ac:dyDescent="0.25">
      <c r="A8931" t="str">
        <f>T("   960810")</f>
        <v xml:space="preserve">   960810</v>
      </c>
      <c r="B8931" t="str">
        <f>T("   Stylos et crayons à bille")</f>
        <v xml:space="preserve">   Stylos et crayons à bille</v>
      </c>
      <c r="C8931">
        <v>1426098</v>
      </c>
      <c r="D8931">
        <v>3085</v>
      </c>
    </row>
    <row r="8932" spans="1:4" x14ac:dyDescent="0.25">
      <c r="A8932" t="str">
        <f>T("   960820")</f>
        <v xml:space="preserve">   960820</v>
      </c>
      <c r="B8932" t="str">
        <f>T("   Stylos et marqueurs à mèche feutre ou à autres pointes poreuses")</f>
        <v xml:space="preserve">   Stylos et marqueurs à mèche feutre ou à autres pointes poreuses</v>
      </c>
      <c r="C8932">
        <v>3000</v>
      </c>
      <c r="D8932">
        <v>10</v>
      </c>
    </row>
    <row r="8933" spans="1:4" x14ac:dyDescent="0.25">
      <c r="A8933" t="str">
        <f>T("   960840")</f>
        <v xml:space="preserve">   960840</v>
      </c>
      <c r="B8933" t="str">
        <f>T("   Porte-mine")</f>
        <v xml:space="preserve">   Porte-mine</v>
      </c>
      <c r="C8933">
        <v>216046</v>
      </c>
      <c r="D8933">
        <v>2000</v>
      </c>
    </row>
    <row r="8934" spans="1:4" x14ac:dyDescent="0.25">
      <c r="A8934" t="str">
        <f>T("   961220")</f>
        <v xml:space="preserve">   961220</v>
      </c>
      <c r="B8934" t="str">
        <f>T("   Tampons encreurs, même imprégnés, avec ou sans boîte")</f>
        <v xml:space="preserve">   Tampons encreurs, même imprégnés, avec ou sans boîte</v>
      </c>
      <c r="C8934">
        <v>383000</v>
      </c>
      <c r="D8934">
        <v>281</v>
      </c>
    </row>
    <row r="8935" spans="1:4" x14ac:dyDescent="0.25">
      <c r="A8935" t="str">
        <f>T("   961310")</f>
        <v xml:space="preserve">   961310</v>
      </c>
      <c r="B8935" t="str">
        <f>T("   Briquets de poche, à gaz (non rechargeables)")</f>
        <v xml:space="preserve">   Briquets de poche, à gaz (non rechargeables)</v>
      </c>
      <c r="C8935">
        <v>20000</v>
      </c>
      <c r="D8935">
        <v>13</v>
      </c>
    </row>
    <row r="8936" spans="1:4" x14ac:dyDescent="0.25">
      <c r="A8936" t="str">
        <f>T("   961511")</f>
        <v xml:space="preserve">   961511</v>
      </c>
      <c r="B8936" t="str">
        <f>T("   PEIGNÉS À COIFFER, PEIGNÉS DE COIFFURE, BARRETTES ET ARTICLES SIMIL., EN CAOUTCHOUC DURCI OU EN MATIÈRES PLASTIQUES")</f>
        <v xml:space="preserve">   PEIGNÉS À COIFFER, PEIGNÉS DE COIFFURE, BARRETTES ET ARTICLES SIMIL., EN CAOUTCHOUC DURCI OU EN MATIÈRES PLASTIQUES</v>
      </c>
      <c r="C8936">
        <v>4675</v>
      </c>
      <c r="D8936">
        <v>11</v>
      </c>
    </row>
    <row r="8937" spans="1:4" x14ac:dyDescent="0.25">
      <c r="A8937" t="str">
        <f>T("   961590")</f>
        <v xml:space="preserve">   961590</v>
      </c>
      <c r="B8937" t="str">
        <f>T("   Epingles à cheveux; pince-guiches, ondulateurs, bigoudis et articles pour la coiffure (autres que ceux du n° 8516); parties")</f>
        <v xml:space="preserve">   Epingles à cheveux; pince-guiches, ondulateurs, bigoudis et articles pour la coiffure (autres que ceux du n° 8516); parties</v>
      </c>
      <c r="C8937">
        <v>193000</v>
      </c>
      <c r="D8937">
        <v>193</v>
      </c>
    </row>
    <row r="8938" spans="1:4" x14ac:dyDescent="0.25">
      <c r="A8938" t="str">
        <f>T("   961700")</f>
        <v xml:space="preserve">   961700</v>
      </c>
      <c r="B8938" t="str">
        <f>T("   Bouteilles isolantes et autres récipients isothermiques montés, dont l'isolation est assurée par le vide, ainsi que leurs parties (à l'excl. des ampoules en verre)")</f>
        <v xml:space="preserve">   Bouteilles isolantes et autres récipients isothermiques montés, dont l'isolation est assurée par le vide, ainsi que leurs parties (à l'excl. des ampoules en verre)</v>
      </c>
      <c r="C8938">
        <v>19493544</v>
      </c>
      <c r="D8938">
        <v>101757</v>
      </c>
    </row>
    <row r="8939" spans="1:4" x14ac:dyDescent="0.25">
      <c r="A8939" t="str">
        <f>T("NI")</f>
        <v>NI</v>
      </c>
      <c r="B8939" t="str">
        <f>T("Nicaragua")</f>
        <v>Nicaragua</v>
      </c>
    </row>
    <row r="8940" spans="1:4" x14ac:dyDescent="0.25">
      <c r="A8940" t="str">
        <f>T("   ZZ_Total_Produit_SH6")</f>
        <v xml:space="preserve">   ZZ_Total_Produit_SH6</v>
      </c>
      <c r="B8940" t="str">
        <f>T("   ZZ_Total_Produit_SH6")</f>
        <v xml:space="preserve">   ZZ_Total_Produit_SH6</v>
      </c>
      <c r="C8940">
        <v>4693906</v>
      </c>
      <c r="D8940">
        <v>21</v>
      </c>
    </row>
    <row r="8941" spans="1:4" x14ac:dyDescent="0.25">
      <c r="A8941" t="str">
        <f>T("   851780")</f>
        <v xml:space="preserve">   851780</v>
      </c>
      <c r="B8941" t="s">
        <v>458</v>
      </c>
      <c r="C8941">
        <v>4693906</v>
      </c>
      <c r="D8941">
        <v>21</v>
      </c>
    </row>
    <row r="8942" spans="1:4" x14ac:dyDescent="0.25">
      <c r="A8942" t="str">
        <f>T("NL")</f>
        <v>NL</v>
      </c>
      <c r="B8942" t="str">
        <f>T("Pays-bas")</f>
        <v>Pays-bas</v>
      </c>
    </row>
    <row r="8943" spans="1:4" x14ac:dyDescent="0.25">
      <c r="A8943" t="str">
        <f>T("   ZZ_Total_Produit_SH6")</f>
        <v xml:space="preserve">   ZZ_Total_Produit_SH6</v>
      </c>
      <c r="B8943" t="str">
        <f>T("   ZZ_Total_Produit_SH6")</f>
        <v xml:space="preserve">   ZZ_Total_Produit_SH6</v>
      </c>
      <c r="C8943">
        <v>54871553771.983002</v>
      </c>
      <c r="D8943">
        <v>136061587.47999999</v>
      </c>
    </row>
    <row r="8944" spans="1:4" x14ac:dyDescent="0.25">
      <c r="A8944" t="str">
        <f>T("   010511")</f>
        <v xml:space="preserve">   010511</v>
      </c>
      <c r="B8944" t="str">
        <f>T("   Coqs et poules [des espèces domestiques], vivants, d'un poids &lt;= 185 g")</f>
        <v xml:space="preserve">   Coqs et poules [des espèces domestiques], vivants, d'un poids &lt;= 185 g</v>
      </c>
      <c r="C8944">
        <v>2721578</v>
      </c>
      <c r="D8944">
        <v>713</v>
      </c>
    </row>
    <row r="8945" spans="1:4" x14ac:dyDescent="0.25">
      <c r="A8945" t="str">
        <f>T("   020712")</f>
        <v xml:space="preserve">   020712</v>
      </c>
      <c r="B8945" t="str">
        <f>T("   COQS ET POULES [DES ESPÈCES DOMESTIQUES], NON-DÉCOUPÉS EN MORCEAUX, CONGELÉS")</f>
        <v xml:space="preserve">   COQS ET POULES [DES ESPÈCES DOMESTIQUES], NON-DÉCOUPÉS EN MORCEAUX, CONGELÉS</v>
      </c>
      <c r="C8945">
        <v>1801710887</v>
      </c>
      <c r="D8945">
        <v>3047129</v>
      </c>
    </row>
    <row r="8946" spans="1:4" x14ac:dyDescent="0.25">
      <c r="A8946" t="str">
        <f>T("   020714")</f>
        <v xml:space="preserve">   020714</v>
      </c>
      <c r="B8946" t="str">
        <f>T("   Morceaux et abats comestibles de coqs et de poules [des espèces domestiques], congelés")</f>
        <v xml:space="preserve">   Morceaux et abats comestibles de coqs et de poules [des espèces domestiques], congelés</v>
      </c>
      <c r="C8946">
        <v>9689256592</v>
      </c>
      <c r="D8946">
        <v>16801331</v>
      </c>
    </row>
    <row r="8947" spans="1:4" x14ac:dyDescent="0.25">
      <c r="A8947" t="str">
        <f>T("   020727")</f>
        <v xml:space="preserve">   020727</v>
      </c>
      <c r="B8947" t="str">
        <f>T("   Morceaux et abats comestibles de dindes et dindons [des espèces domestiques], congelés")</f>
        <v xml:space="preserve">   Morceaux et abats comestibles de dindes et dindons [des espèces domestiques], congelés</v>
      </c>
      <c r="C8947">
        <v>2368069036</v>
      </c>
      <c r="D8947">
        <v>4014578</v>
      </c>
    </row>
    <row r="8948" spans="1:4" x14ac:dyDescent="0.25">
      <c r="A8948" t="str">
        <f>T("   020736")</f>
        <v xml:space="preserve">   020736</v>
      </c>
      <c r="B8948" t="str">
        <f>T("   Morceaux et abats comestibles de canards, d'oies ou de pintades [des espèces domestiques], congelés (à l'excl. des foies gras)")</f>
        <v xml:space="preserve">   Morceaux et abats comestibles de canards, d'oies ou de pintades [des espèces domestiques], congelés (à l'excl. des foies gras)</v>
      </c>
      <c r="C8948">
        <v>22206214</v>
      </c>
      <c r="D8948">
        <v>55720</v>
      </c>
    </row>
    <row r="8949" spans="1:4" x14ac:dyDescent="0.25">
      <c r="A8949" t="str">
        <f>T("   030379")</f>
        <v xml:space="preserve">   030379</v>
      </c>
      <c r="B8949" t="s">
        <v>17</v>
      </c>
      <c r="C8949">
        <v>257371175</v>
      </c>
      <c r="D8949">
        <v>1473618</v>
      </c>
    </row>
    <row r="8950" spans="1:4" x14ac:dyDescent="0.25">
      <c r="A8950" t="str">
        <f>T("   030569")</f>
        <v xml:space="preserve">   030569</v>
      </c>
      <c r="B8950" t="str">
        <f>T("   Poissons, uniquement salés ou en saumure (à l'excl. des harengs, des morues, des anchois ainsi que de tous les filets de poissons)")</f>
        <v xml:space="preserve">   Poissons, uniquement salés ou en saumure (à l'excl. des harengs, des morues, des anchois ainsi que de tous les filets de poissons)</v>
      </c>
      <c r="C8950">
        <v>200000</v>
      </c>
      <c r="D8950">
        <v>426</v>
      </c>
    </row>
    <row r="8951" spans="1:4" x14ac:dyDescent="0.25">
      <c r="A8951" t="str">
        <f>T("   040210")</f>
        <v xml:space="preserve">   040210</v>
      </c>
      <c r="B8951" t="str">
        <f>T("   Lait et crème de lait, en poudre, en granulés ou sous d'autres formes solides, d'une teneur en poids de matières grasses &lt;= 1,5%")</f>
        <v xml:space="preserve">   Lait et crème de lait, en poudre, en granulés ou sous d'autres formes solides, d'une teneur en poids de matières grasses &lt;= 1,5%</v>
      </c>
      <c r="C8951">
        <v>129568566</v>
      </c>
      <c r="D8951">
        <v>64674</v>
      </c>
    </row>
    <row r="8952" spans="1:4" x14ac:dyDescent="0.25">
      <c r="A8952" t="str">
        <f>T("   040221")</f>
        <v xml:space="preserve">   040221</v>
      </c>
      <c r="B8952" t="str">
        <f>T("   Lait et crème de lait, en poudre, en granulés ou sous d'autres formes solides, d'une teneur en poids de matières grasses &gt; 1,5%, sans addition de sucre ou d'autres édulcorants")</f>
        <v xml:space="preserve">   Lait et crème de lait, en poudre, en granulés ou sous d'autres formes solides, d'une teneur en poids de matières grasses &gt; 1,5%, sans addition de sucre ou d'autres édulcorants</v>
      </c>
      <c r="C8952">
        <v>1133291544</v>
      </c>
      <c r="D8952">
        <v>448851</v>
      </c>
    </row>
    <row r="8953" spans="1:4" x14ac:dyDescent="0.25">
      <c r="A8953" t="str">
        <f>T("   040229")</f>
        <v xml:space="preserve">   040229</v>
      </c>
      <c r="B8953" t="str">
        <f>T("   Lait et crème de lait, en poudre, en granulés ou sous d'autres formes solides, d'une teneur en poids de matières grasses &gt; 1,5%, avec addition de sucre ou d'autres édulcorants")</f>
        <v xml:space="preserve">   Lait et crème de lait, en poudre, en granulés ou sous d'autres formes solides, d'une teneur en poids de matières grasses &gt; 1,5%, avec addition de sucre ou d'autres édulcorants</v>
      </c>
      <c r="C8953">
        <v>292213612</v>
      </c>
      <c r="D8953">
        <v>149280</v>
      </c>
    </row>
    <row r="8954" spans="1:4" x14ac:dyDescent="0.25">
      <c r="A8954" t="str">
        <f>T("   040291")</f>
        <v xml:space="preserve">   040291</v>
      </c>
      <c r="B8954" t="str">
        <f>T("   Lait et crème de lait, concentrés, sans addition de sucre ou d'autres édulcorants (à l'excl. des laits et crèmes de lait en poudre, en granulés ou sous d'autres formes solides)")</f>
        <v xml:space="preserve">   Lait et crème de lait, concentrés, sans addition de sucre ou d'autres édulcorants (à l'excl. des laits et crèmes de lait en poudre, en granulés ou sous d'autres formes solides)</v>
      </c>
      <c r="C8954">
        <v>3012741153</v>
      </c>
      <c r="D8954">
        <v>2816072.12</v>
      </c>
    </row>
    <row r="8955" spans="1:4" x14ac:dyDescent="0.25">
      <c r="A8955" t="str">
        <f>T("   040299")</f>
        <v xml:space="preserve">   040299</v>
      </c>
      <c r="B8955" t="str">
        <f>T("   Lait et crème de lait, concentrés, additionnés de sucre ou d'autres édulcorants (à l'excl. des laits et crèmes de lait en poudre, en granulés ou sous d'autres formes solides)")</f>
        <v xml:space="preserve">   Lait et crème de lait, concentrés, additionnés de sucre ou d'autres édulcorants (à l'excl. des laits et crèmes de lait en poudre, en granulés ou sous d'autres formes solides)</v>
      </c>
      <c r="C8955">
        <v>779840891</v>
      </c>
      <c r="D8955">
        <v>1022097.28</v>
      </c>
    </row>
    <row r="8956" spans="1:4" x14ac:dyDescent="0.25">
      <c r="A8956" t="str">
        <f>T("   040700")</f>
        <v xml:space="preserve">   040700</v>
      </c>
      <c r="B8956" t="str">
        <f>T("   Oeufs d'oiseaux, en coquilles, frais, conservés ou cuits")</f>
        <v xml:space="preserve">   Oeufs d'oiseaux, en coquilles, frais, conservés ou cuits</v>
      </c>
      <c r="C8956">
        <v>4382888</v>
      </c>
      <c r="D8956">
        <v>9743</v>
      </c>
    </row>
    <row r="8957" spans="1:4" x14ac:dyDescent="0.25">
      <c r="A8957" t="str">
        <f>T("   040900")</f>
        <v xml:space="preserve">   040900</v>
      </c>
      <c r="B8957" t="str">
        <f>T("   Miel naturel")</f>
        <v xml:space="preserve">   Miel naturel</v>
      </c>
      <c r="C8957">
        <v>693690</v>
      </c>
      <c r="D8957">
        <v>126</v>
      </c>
    </row>
    <row r="8958" spans="1:4" x14ac:dyDescent="0.25">
      <c r="A8958" t="str">
        <f>T("   070190")</f>
        <v xml:space="preserve">   070190</v>
      </c>
      <c r="B8958" t="str">
        <f>T("   Pommes de terre, à l'état frais ou réfrigéré (à l'excl. des pommes de terre de semence)")</f>
        <v xml:space="preserve">   Pommes de terre, à l'état frais ou réfrigéré (à l'excl. des pommes de terre de semence)</v>
      </c>
      <c r="C8958">
        <v>65143878</v>
      </c>
      <c r="D8958">
        <v>398360</v>
      </c>
    </row>
    <row r="8959" spans="1:4" x14ac:dyDescent="0.25">
      <c r="A8959" t="str">
        <f>T("   080810")</f>
        <v xml:space="preserve">   080810</v>
      </c>
      <c r="B8959" t="str">
        <f>T("   Pommes, fraîches")</f>
        <v xml:space="preserve">   Pommes, fraîches</v>
      </c>
      <c r="C8959">
        <v>42076553</v>
      </c>
      <c r="D8959">
        <v>144189</v>
      </c>
    </row>
    <row r="8960" spans="1:4" x14ac:dyDescent="0.25">
      <c r="A8960" t="str">
        <f>T("   100630")</f>
        <v xml:space="preserve">   100630</v>
      </c>
      <c r="B8960" t="str">
        <f>T("   Riz semi-blanchi ou blanchi, même poli ou glacé")</f>
        <v xml:space="preserve">   Riz semi-blanchi ou blanchi, même poli ou glacé</v>
      </c>
      <c r="C8960">
        <v>24537743.982999999</v>
      </c>
      <c r="D8960">
        <v>99400</v>
      </c>
    </row>
    <row r="8961" spans="1:4" x14ac:dyDescent="0.25">
      <c r="A8961" t="str">
        <f>T("   110100")</f>
        <v xml:space="preserve">   110100</v>
      </c>
      <c r="B8961" t="str">
        <f>T("   Farines de froment [blé] ou de méteil")</f>
        <v xml:space="preserve">   Farines de froment [blé] ou de méteil</v>
      </c>
      <c r="C8961">
        <v>15087</v>
      </c>
      <c r="D8961">
        <v>50</v>
      </c>
    </row>
    <row r="8962" spans="1:4" x14ac:dyDescent="0.25">
      <c r="A8962" t="str">
        <f>T("   160100")</f>
        <v xml:space="preserve">   160100</v>
      </c>
      <c r="B8962" t="str">
        <f>T("   Saucisses, saucissons et produits simil., de viande, d'abats ou de sang; préparations alimentaires à base de ces produits")</f>
        <v xml:space="preserve">   Saucisses, saucissons et produits simil., de viande, d'abats ou de sang; préparations alimentaires à base de ces produits</v>
      </c>
      <c r="C8962">
        <v>75030672</v>
      </c>
      <c r="D8962">
        <v>128029</v>
      </c>
    </row>
    <row r="8963" spans="1:4" x14ac:dyDescent="0.25">
      <c r="A8963" t="str">
        <f>T("   190190")</f>
        <v xml:space="preserve">   190190</v>
      </c>
      <c r="B8963" t="s">
        <v>49</v>
      </c>
      <c r="C8963">
        <v>110678400</v>
      </c>
      <c r="D8963">
        <v>148357.26</v>
      </c>
    </row>
    <row r="8964" spans="1:4" x14ac:dyDescent="0.25">
      <c r="A8964" t="str">
        <f>T("   190531")</f>
        <v xml:space="preserve">   190531</v>
      </c>
      <c r="B8964" t="str">
        <f>T("   Biscuits additionnés d'édulcorants")</f>
        <v xml:space="preserve">   Biscuits additionnés d'édulcorants</v>
      </c>
      <c r="C8964">
        <v>11421805</v>
      </c>
      <c r="D8964">
        <v>22645</v>
      </c>
    </row>
    <row r="8965" spans="1:4" x14ac:dyDescent="0.25">
      <c r="A8965" t="str">
        <f>T("   190590")</f>
        <v xml:space="preserve">   190590</v>
      </c>
      <c r="B8965" t="s">
        <v>51</v>
      </c>
      <c r="C8965">
        <v>49050721</v>
      </c>
      <c r="D8965">
        <v>48552</v>
      </c>
    </row>
    <row r="8966" spans="1:4" x14ac:dyDescent="0.25">
      <c r="A8966" t="str">
        <f>T("   200990")</f>
        <v xml:space="preserve">   200990</v>
      </c>
      <c r="B8966"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8966">
        <v>88000</v>
      </c>
      <c r="D8966">
        <v>227</v>
      </c>
    </row>
    <row r="8967" spans="1:4" x14ac:dyDescent="0.25">
      <c r="A8967" t="str">
        <f>T("   210690")</f>
        <v xml:space="preserve">   210690</v>
      </c>
      <c r="B8967" t="str">
        <f>T("   Préparations alimentaires, n.d.a.")</f>
        <v xml:space="preserve">   Préparations alimentaires, n.d.a.</v>
      </c>
      <c r="C8967">
        <v>113321538</v>
      </c>
      <c r="D8967">
        <v>27089</v>
      </c>
    </row>
    <row r="8968" spans="1:4" x14ac:dyDescent="0.25">
      <c r="A8968" t="str">
        <f>T("   220290")</f>
        <v xml:space="preserve">   220290</v>
      </c>
      <c r="B8968" t="str">
        <f>T("   BOISSONS NON-ALCOOLIQUES (À L'EXCL. DES EAUX, DES JUS DE FRUITS OU DE LÉGUMES AINSI QUE DU LAIT)")</f>
        <v xml:space="preserve">   BOISSONS NON-ALCOOLIQUES (À L'EXCL. DES EAUX, DES JUS DE FRUITS OU DE LÉGUMES AINSI QUE DU LAIT)</v>
      </c>
      <c r="C8968">
        <v>8090919</v>
      </c>
      <c r="D8968">
        <v>28062</v>
      </c>
    </row>
    <row r="8969" spans="1:4" x14ac:dyDescent="0.25">
      <c r="A8969" t="str">
        <f>T("   220300")</f>
        <v xml:space="preserve">   220300</v>
      </c>
      <c r="B8969" t="str">
        <f>T("   Bières de malt")</f>
        <v xml:space="preserve">   Bières de malt</v>
      </c>
      <c r="C8969">
        <v>891559470</v>
      </c>
      <c r="D8969">
        <v>2177208</v>
      </c>
    </row>
    <row r="8970" spans="1:4" x14ac:dyDescent="0.25">
      <c r="A8970" t="str">
        <f>T("   230120")</f>
        <v xml:space="preserve">   230120</v>
      </c>
      <c r="B8970" t="str">
        <f>T("   Farines, poudres et agglomérés sous forme de pellets, de poissons ou de crustacés, de mollusques ou d'autres invertébrés aquatiques, impropres à l'alimentation humaine")</f>
        <v xml:space="preserve">   Farines, poudres et agglomérés sous forme de pellets, de poissons ou de crustacés, de mollusques ou d'autres invertébrés aquatiques, impropres à l'alimentation humaine</v>
      </c>
      <c r="C8970">
        <v>18000000</v>
      </c>
      <c r="D8970">
        <v>129000</v>
      </c>
    </row>
    <row r="8971" spans="1:4" x14ac:dyDescent="0.25">
      <c r="A8971" t="str">
        <f>T("   230990")</f>
        <v xml:space="preserve">   230990</v>
      </c>
      <c r="B8971" t="str">
        <f>T("   Préparations des types utilisés pour l'alimentation des animaux (à l'excl. des aliments pour chiens ou chats conditionnés pour la vente au détail)")</f>
        <v xml:space="preserve">   Préparations des types utilisés pour l'alimentation des animaux (à l'excl. des aliments pour chiens ou chats conditionnés pour la vente au détail)</v>
      </c>
      <c r="C8971">
        <v>6784160</v>
      </c>
      <c r="D8971">
        <v>41020</v>
      </c>
    </row>
    <row r="8972" spans="1:4" x14ac:dyDescent="0.25">
      <c r="A8972" t="str">
        <f>T("   271011")</f>
        <v xml:space="preserve">   271011</v>
      </c>
      <c r="B8972"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8972">
        <v>1114095283</v>
      </c>
      <c r="D8972">
        <v>13301201</v>
      </c>
    </row>
    <row r="8973" spans="1:4" x14ac:dyDescent="0.25">
      <c r="A8973" t="str">
        <f>T("   271019")</f>
        <v xml:space="preserve">   271019</v>
      </c>
      <c r="B8973" t="str">
        <f>T("   Huiles moyennes et préparations, de pétrole ou de minéraux bitumineux, n.d.a.")</f>
        <v xml:space="preserve">   Huiles moyennes et préparations, de pétrole ou de minéraux bitumineux, n.d.a.</v>
      </c>
      <c r="C8973">
        <v>21010522508</v>
      </c>
      <c r="D8973">
        <v>80468899</v>
      </c>
    </row>
    <row r="8974" spans="1:4" x14ac:dyDescent="0.25">
      <c r="A8974" t="str">
        <f>T("   283220")</f>
        <v xml:space="preserve">   283220</v>
      </c>
      <c r="B8974" t="str">
        <f>T("   Sulfites (autres que de sodium)")</f>
        <v xml:space="preserve">   Sulfites (autres que de sodium)</v>
      </c>
      <c r="C8974">
        <v>2534629</v>
      </c>
      <c r="D8974">
        <v>963</v>
      </c>
    </row>
    <row r="8975" spans="1:4" x14ac:dyDescent="0.25">
      <c r="A8975" t="str">
        <f>T("   300220")</f>
        <v xml:space="preserve">   300220</v>
      </c>
      <c r="B8975" t="str">
        <f>T("   Vaccins pour la médecine humaine")</f>
        <v xml:space="preserve">   Vaccins pour la médecine humaine</v>
      </c>
      <c r="C8975">
        <v>19441342</v>
      </c>
      <c r="D8975">
        <v>260</v>
      </c>
    </row>
    <row r="8976" spans="1:4" x14ac:dyDescent="0.25">
      <c r="A8976" t="str">
        <f>T("   300339")</f>
        <v xml:space="preserve">   300339</v>
      </c>
      <c r="B8976" t="str">
        <f>T("   Médicaments contenant des hormones ou des stéroïdes utilisés comme hormones, mais ne contenant pas d'antibiotiques, non présentés sous forme de doses, ni conditionnés pour la vente au détail (à l'excl. des médicaments contenant de l'insuline)")</f>
        <v xml:space="preserve">   Médicaments contenant des hormones ou des stéroïdes utilisés comme hormones, mais ne contenant pas d'antibiotiques, non présentés sous forme de doses, ni conditionnés pour la vente au détail (à l'excl. des médicaments contenant de l'insuline)</v>
      </c>
      <c r="C8976">
        <v>8296542</v>
      </c>
      <c r="D8976">
        <v>834</v>
      </c>
    </row>
    <row r="8977" spans="1:4" x14ac:dyDescent="0.25">
      <c r="A8977" t="str">
        <f>T("   300490")</f>
        <v xml:space="preserve">   300490</v>
      </c>
      <c r="B8977" t="s">
        <v>80</v>
      </c>
      <c r="C8977">
        <v>252655632</v>
      </c>
      <c r="D8977">
        <v>29173</v>
      </c>
    </row>
    <row r="8978" spans="1:4" x14ac:dyDescent="0.25">
      <c r="A8978" t="str">
        <f>T("   300590")</f>
        <v xml:space="preserve">   300590</v>
      </c>
      <c r="B8978" t="s">
        <v>81</v>
      </c>
      <c r="C8978">
        <v>2596946</v>
      </c>
      <c r="D8978">
        <v>427</v>
      </c>
    </row>
    <row r="8979" spans="1:4" x14ac:dyDescent="0.25">
      <c r="A8979" t="str">
        <f>T("   300620")</f>
        <v xml:space="preserve">   300620</v>
      </c>
      <c r="B8979" t="str">
        <f>T("   Réactifs destinés à la détermination des groupes ou des facteurs sanguins")</f>
        <v xml:space="preserve">   Réactifs destinés à la détermination des groupes ou des facteurs sanguins</v>
      </c>
      <c r="C8979">
        <v>14860</v>
      </c>
      <c r="D8979">
        <v>14</v>
      </c>
    </row>
    <row r="8980" spans="1:4" x14ac:dyDescent="0.25">
      <c r="A8980" t="str">
        <f>T("   330210")</f>
        <v xml:space="preserve">   330210</v>
      </c>
      <c r="B8980" t="str">
        <f>T("   Mélanges de substances odoriférantes et mélanges, y.c. les solutions alcooliques, à base d'une ou de plusieurs de ces substances, des types utilisés comme matières de base pour les industries des produits alimentaires et des boissons")</f>
        <v xml:space="preserve">   Mélanges de substances odoriférantes et mélanges, y.c. les solutions alcooliques, à base d'une ou de plusieurs de ces substances, des types utilisés comme matières de base pour les industries des produits alimentaires et des boissons</v>
      </c>
      <c r="C8980">
        <v>16625962</v>
      </c>
      <c r="D8980">
        <v>6003</v>
      </c>
    </row>
    <row r="8981" spans="1:4" x14ac:dyDescent="0.25">
      <c r="A8981" t="str">
        <f>T("   330290")</f>
        <v xml:space="preserve">   330290</v>
      </c>
      <c r="B8981" t="s">
        <v>100</v>
      </c>
      <c r="C8981">
        <v>10064742</v>
      </c>
      <c r="D8981">
        <v>4064</v>
      </c>
    </row>
    <row r="8982" spans="1:4" x14ac:dyDescent="0.25">
      <c r="A8982" t="str">
        <f>T("   330300")</f>
        <v xml:space="preserve">   330300</v>
      </c>
      <c r="B8982" t="str">
        <f>T("   Parfums et eaux de toilette (à l'excl. des préparations pour l'après-rasage [lotions after-shave] et des désodorisants corporels)")</f>
        <v xml:space="preserve">   Parfums et eaux de toilette (à l'excl. des préparations pour l'après-rasage [lotions after-shave] et des désodorisants corporels)</v>
      </c>
      <c r="C8982">
        <v>2846703</v>
      </c>
      <c r="D8982">
        <v>517</v>
      </c>
    </row>
    <row r="8983" spans="1:4" x14ac:dyDescent="0.25">
      <c r="A8983" t="str">
        <f>T("   330410")</f>
        <v xml:space="preserve">   330410</v>
      </c>
      <c r="B8983" t="str">
        <f>T("   Produits de maquillage pour les lèvres")</f>
        <v xml:space="preserve">   Produits de maquillage pour les lèvres</v>
      </c>
      <c r="C8983">
        <v>9169043</v>
      </c>
      <c r="D8983">
        <v>1641</v>
      </c>
    </row>
    <row r="8984" spans="1:4" x14ac:dyDescent="0.25">
      <c r="A8984" t="str">
        <f>T("   330420")</f>
        <v xml:space="preserve">   330420</v>
      </c>
      <c r="B8984" t="str">
        <f>T("   Produits de maquillage pour les yeux")</f>
        <v xml:space="preserve">   Produits de maquillage pour les yeux</v>
      </c>
      <c r="C8984">
        <v>6791941</v>
      </c>
      <c r="D8984">
        <v>1297</v>
      </c>
    </row>
    <row r="8985" spans="1:4" x14ac:dyDescent="0.25">
      <c r="A8985" t="str">
        <f>T("   330499")</f>
        <v xml:space="preserve">   330499</v>
      </c>
      <c r="B8985" t="s">
        <v>101</v>
      </c>
      <c r="C8985">
        <v>52702714</v>
      </c>
      <c r="D8985">
        <v>9482</v>
      </c>
    </row>
    <row r="8986" spans="1:4" x14ac:dyDescent="0.25">
      <c r="A8986" t="str">
        <f>T("   330590")</f>
        <v xml:space="preserve">   330590</v>
      </c>
      <c r="B8986" t="str">
        <f>T("   PRÉPARATIONS CAPILLAIRES (À L'EXCL. DES SHAMPOOINGS, DES LAQUES POUR CHEVEUX ET DES PRÉPARATIONS POUR L'ONDULATION OU LE DÉFRISAGE PERMANENTS)")</f>
        <v xml:space="preserve">   PRÉPARATIONS CAPILLAIRES (À L'EXCL. DES SHAMPOOINGS, DES LAQUES POUR CHEVEUX ET DES PRÉPARATIONS POUR L'ONDULATION OU LE DÉFRISAGE PERMANENTS)</v>
      </c>
      <c r="C8986">
        <v>364307</v>
      </c>
      <c r="D8986">
        <v>66</v>
      </c>
    </row>
    <row r="8987" spans="1:4" x14ac:dyDescent="0.25">
      <c r="A8987" t="str">
        <f>T("   330610")</f>
        <v xml:space="preserve">   330610</v>
      </c>
      <c r="B8987" t="str">
        <f>T("   Dentifrices, préparés, même des types utilisés par les dentistes")</f>
        <v xml:space="preserve">   Dentifrices, préparés, même des types utilisés par les dentistes</v>
      </c>
      <c r="C8987">
        <v>27350443</v>
      </c>
      <c r="D8987">
        <v>9474</v>
      </c>
    </row>
    <row r="8988" spans="1:4" x14ac:dyDescent="0.25">
      <c r="A8988" t="str">
        <f>T("   330710")</f>
        <v xml:space="preserve">   330710</v>
      </c>
      <c r="B8988" t="str">
        <f>T("   Préparations pour le prérasage, le rasage ou l'après-rasage")</f>
        <v xml:space="preserve">   Préparations pour le prérasage, le rasage ou l'après-rasage</v>
      </c>
      <c r="C8988">
        <v>617678</v>
      </c>
      <c r="D8988">
        <v>112</v>
      </c>
    </row>
    <row r="8989" spans="1:4" x14ac:dyDescent="0.25">
      <c r="A8989" t="str">
        <f>T("   330730")</f>
        <v xml:space="preserve">   330730</v>
      </c>
      <c r="B8989" t="str">
        <f>T("   Sels parfumés et autres préparations pour bains")</f>
        <v xml:space="preserve">   Sels parfumés et autres préparations pour bains</v>
      </c>
      <c r="C8989">
        <v>1047678</v>
      </c>
      <c r="D8989">
        <v>250</v>
      </c>
    </row>
    <row r="8990" spans="1:4" x14ac:dyDescent="0.25">
      <c r="A8990" t="str">
        <f>T("   330749")</f>
        <v xml:space="preserve">   330749</v>
      </c>
      <c r="B8990" t="str">
        <f>T("   Préparations pour parfumer ou pour désodoriser les locaux, y.c. les préparations odoriférantes pour cérémonies religieuses (à l'excl. de l'agarbatti et des autres préparations odoriférantes agissant par combustion)")</f>
        <v xml:space="preserve">   Préparations pour parfumer ou pour désodoriser les locaux, y.c. les préparations odoriférantes pour cérémonies religieuses (à l'excl. de l'agarbatti et des autres préparations odoriférantes agissant par combustion)</v>
      </c>
      <c r="C8990">
        <v>8408095</v>
      </c>
      <c r="D8990">
        <v>4366</v>
      </c>
    </row>
    <row r="8991" spans="1:4" x14ac:dyDescent="0.25">
      <c r="A8991" t="str">
        <f>T("   340120")</f>
        <v xml:space="preserve">   340120</v>
      </c>
      <c r="B8991" t="str">
        <f>T("   Savons en flocons, en paillettes, en granulés ou en poudres et savons liquides ou pâteux")</f>
        <v xml:space="preserve">   Savons en flocons, en paillettes, en granulés ou en poudres et savons liquides ou pâteux</v>
      </c>
      <c r="C8991">
        <v>20845143</v>
      </c>
      <c r="D8991">
        <v>3720</v>
      </c>
    </row>
    <row r="8992" spans="1:4" x14ac:dyDescent="0.25">
      <c r="A8992" t="str">
        <f>T("   340130")</f>
        <v xml:space="preserve">   340130</v>
      </c>
      <c r="B8992" t="str">
        <f>T("   Produits et préparations organiques tensio-actifs destinés au lavage de la peau, sous forme de liquide ou de crème, conditionnés pour la vente au détail, même contenant  du savon")</f>
        <v xml:space="preserve">   Produits et préparations organiques tensio-actifs destinés au lavage de la peau, sous forme de liquide ou de crème, conditionnés pour la vente au détail, même contenant  du savon</v>
      </c>
      <c r="C8992">
        <v>12167494</v>
      </c>
      <c r="D8992">
        <v>2209</v>
      </c>
    </row>
    <row r="8993" spans="1:4" x14ac:dyDescent="0.25">
      <c r="A8993" t="str">
        <f>T("   340220")</f>
        <v xml:space="preserve">   340220</v>
      </c>
      <c r="B8993" t="s">
        <v>104</v>
      </c>
      <c r="C8993">
        <v>11936682</v>
      </c>
      <c r="D8993">
        <v>6513</v>
      </c>
    </row>
    <row r="8994" spans="1:4" x14ac:dyDescent="0.25">
      <c r="A8994" t="str">
        <f>T("   340520")</f>
        <v xml:space="preserve">   340520</v>
      </c>
      <c r="B8994" t="s">
        <v>110</v>
      </c>
      <c r="C8994">
        <v>1087582</v>
      </c>
      <c r="D8994">
        <v>564</v>
      </c>
    </row>
    <row r="8995" spans="1:4" x14ac:dyDescent="0.25">
      <c r="A8995" t="str">
        <f>T("   370210")</f>
        <v xml:space="preserve">   370210</v>
      </c>
      <c r="B8995" t="str">
        <f>T("   Pellicules photographiques sensibilisées, non impressionnées, en rouleaux, pour rayons X (sauf en papier, en carton ou en matières textiles)")</f>
        <v xml:space="preserve">   Pellicules photographiques sensibilisées, non impressionnées, en rouleaux, pour rayons X (sauf en papier, en carton ou en matières textiles)</v>
      </c>
      <c r="C8995">
        <v>1609726</v>
      </c>
      <c r="D8995">
        <v>264</v>
      </c>
    </row>
    <row r="8996" spans="1:4" x14ac:dyDescent="0.25">
      <c r="A8996" t="str">
        <f>T("   382200")</f>
        <v xml:space="preserve">   382200</v>
      </c>
      <c r="B8996" t="s">
        <v>126</v>
      </c>
      <c r="C8996">
        <v>496562</v>
      </c>
      <c r="D8996">
        <v>83</v>
      </c>
    </row>
    <row r="8997" spans="1:4" x14ac:dyDescent="0.25">
      <c r="A8997" t="str">
        <f>T("   382550")</f>
        <v xml:space="preserve">   382550</v>
      </c>
      <c r="B8997" t="str">
        <f>T("   Déchets de solutions [liqueurs] décapantes pour métaux, de liquides hydrauliques, de liquides pour freins et de liquides antigel")</f>
        <v xml:space="preserve">   Déchets de solutions [liqueurs] décapantes pour métaux, de liquides hydrauliques, de liquides pour freins et de liquides antigel</v>
      </c>
      <c r="C8997">
        <v>743203</v>
      </c>
      <c r="D8997">
        <v>176</v>
      </c>
    </row>
    <row r="8998" spans="1:4" x14ac:dyDescent="0.25">
      <c r="A8998" t="str">
        <f>T("   390390")</f>
        <v xml:space="preserve">   390390</v>
      </c>
      <c r="B8998" t="str">
        <f>T("   Polymères du styrène, sous formes primaires (à l'excl. du polystyrène ainsi que des copolymères de styrène-acrylonitrile [SAN] ou d'acrylonitrile-butadiène-styrène [ABS])")</f>
        <v xml:space="preserve">   Polymères du styrène, sous formes primaires (à l'excl. du polystyrène ainsi que des copolymères de styrène-acrylonitrile [SAN] ou d'acrylonitrile-butadiène-styrène [ABS])</v>
      </c>
      <c r="C8998">
        <v>2524790</v>
      </c>
      <c r="D8998">
        <v>4000</v>
      </c>
    </row>
    <row r="8999" spans="1:4" x14ac:dyDescent="0.25">
      <c r="A8999" t="str">
        <f>T("   390512")</f>
        <v xml:space="preserve">   390512</v>
      </c>
      <c r="B8999" t="str">
        <f>T("   Poly[acétate de vinyle], en dispersion aqueuse")</f>
        <v xml:space="preserve">   Poly[acétate de vinyle], en dispersion aqueuse</v>
      </c>
      <c r="C8999">
        <v>7257542</v>
      </c>
      <c r="D8999">
        <v>12000</v>
      </c>
    </row>
    <row r="9000" spans="1:4" x14ac:dyDescent="0.25">
      <c r="A9000" t="str">
        <f>T("   390720")</f>
        <v xml:space="preserve">   390720</v>
      </c>
      <c r="B9000" t="str">
        <f>T("   Polyéthers, sous formes primaires (à l'excl. des polyacétals)")</f>
        <v xml:space="preserve">   Polyéthers, sous formes primaires (à l'excl. des polyacétals)</v>
      </c>
      <c r="C9000">
        <v>37027630</v>
      </c>
      <c r="D9000">
        <v>33600</v>
      </c>
    </row>
    <row r="9001" spans="1:4" x14ac:dyDescent="0.25">
      <c r="A9001" t="str">
        <f>T("   392310")</f>
        <v xml:space="preserve">   392310</v>
      </c>
      <c r="B9001" t="str">
        <f>T("   Boîtes, caisses, casiers et articles simil. pour le transport ou l'emballage, en matières plastiques")</f>
        <v xml:space="preserve">   Boîtes, caisses, casiers et articles simil. pour le transport ou l'emballage, en matières plastiques</v>
      </c>
      <c r="C9001">
        <v>199412</v>
      </c>
      <c r="D9001">
        <v>7</v>
      </c>
    </row>
    <row r="9002" spans="1:4" x14ac:dyDescent="0.25">
      <c r="A9002" t="str">
        <f>T("   392321")</f>
        <v xml:space="preserve">   392321</v>
      </c>
      <c r="B9002" t="str">
        <f>T("   Sacs, sachets, pochettes et cornets, en polymères de l'éthylène")</f>
        <v xml:space="preserve">   Sacs, sachets, pochettes et cornets, en polymères de l'éthylène</v>
      </c>
      <c r="C9002">
        <v>1774267</v>
      </c>
      <c r="D9002">
        <v>1033</v>
      </c>
    </row>
    <row r="9003" spans="1:4" x14ac:dyDescent="0.25">
      <c r="A9003" t="str">
        <f>T("   392329")</f>
        <v xml:space="preserve">   392329</v>
      </c>
      <c r="B9003" t="str">
        <f>T("   Sacs, sachets, pochettes et cornets, en matières plastiques (autres que les polymères de l'éthylène)")</f>
        <v xml:space="preserve">   Sacs, sachets, pochettes et cornets, en matières plastiques (autres que les polymères de l'éthylène)</v>
      </c>
      <c r="C9003">
        <v>5941166</v>
      </c>
      <c r="D9003">
        <v>4594.2</v>
      </c>
    </row>
    <row r="9004" spans="1:4" x14ac:dyDescent="0.25">
      <c r="A9004" t="str">
        <f>T("   392330")</f>
        <v xml:space="preserve">   392330</v>
      </c>
      <c r="B9004" t="str">
        <f>T("   Bonbonnes, bouteilles, flacons et articles simil. pour le transport ou l'emballage, en matières plastiques")</f>
        <v xml:space="preserve">   Bonbonnes, bouteilles, flacons et articles simil. pour le transport ou l'emballage, en matières plastiques</v>
      </c>
      <c r="C9004">
        <v>1084958</v>
      </c>
      <c r="D9004">
        <v>300</v>
      </c>
    </row>
    <row r="9005" spans="1:4" x14ac:dyDescent="0.25">
      <c r="A9005" t="str">
        <f>T("   392350")</f>
        <v xml:space="preserve">   392350</v>
      </c>
      <c r="B9005" t="str">
        <f>T("   Bouchons, couvercles, capsules et autres dispositifs de fermeture, en matières plastiques")</f>
        <v xml:space="preserve">   Bouchons, couvercles, capsules et autres dispositifs de fermeture, en matières plastiques</v>
      </c>
      <c r="C9005">
        <v>212531</v>
      </c>
      <c r="D9005">
        <v>4</v>
      </c>
    </row>
    <row r="9006" spans="1:4" x14ac:dyDescent="0.25">
      <c r="A9006" t="str">
        <f>T("   392390")</f>
        <v xml:space="preserve">   392390</v>
      </c>
      <c r="B9006" t="s">
        <v>150</v>
      </c>
      <c r="C9006">
        <v>292488</v>
      </c>
      <c r="D9006">
        <v>206.4</v>
      </c>
    </row>
    <row r="9007" spans="1:4" x14ac:dyDescent="0.25">
      <c r="A9007" t="str">
        <f>T("   392410")</f>
        <v xml:space="preserve">   392410</v>
      </c>
      <c r="B9007" t="str">
        <f>T("   Vaisselle et autres articles pour le service de la table ou de la cuisine, en matières plastiques")</f>
        <v xml:space="preserve">   Vaisselle et autres articles pour le service de la table ou de la cuisine, en matières plastiques</v>
      </c>
      <c r="C9007">
        <v>194164</v>
      </c>
      <c r="D9007">
        <v>23</v>
      </c>
    </row>
    <row r="9008" spans="1:4" x14ac:dyDescent="0.25">
      <c r="A9008" t="str">
        <f>T("   392490")</f>
        <v xml:space="preserve">   392490</v>
      </c>
      <c r="B9008" t="s">
        <v>151</v>
      </c>
      <c r="C9008">
        <v>1657611</v>
      </c>
      <c r="D9008">
        <v>475</v>
      </c>
    </row>
    <row r="9009" spans="1:4" x14ac:dyDescent="0.25">
      <c r="A9009" t="str">
        <f>T("   392620")</f>
        <v xml:space="preserve">   392620</v>
      </c>
      <c r="B9009" t="str">
        <f>T("   Vêtements et accessoires du vêtement, y.c. les gants, mitaines et moufles, fabriqués par couture ou collage à partir de feuilles en matières plastiques")</f>
        <v xml:space="preserve">   Vêtements et accessoires du vêtement, y.c. les gants, mitaines et moufles, fabriqués par couture ou collage à partir de feuilles en matières plastiques</v>
      </c>
      <c r="C9009">
        <v>65596</v>
      </c>
      <c r="D9009">
        <v>29.4</v>
      </c>
    </row>
    <row r="9010" spans="1:4" x14ac:dyDescent="0.25">
      <c r="A9010" t="str">
        <f>T("   392690")</f>
        <v xml:space="preserve">   392690</v>
      </c>
      <c r="B9010" t="str">
        <f>T("   Ouvrages en matières plastiques et ouvrages en autres matières du n° 3901 à 3914, n.d.a.")</f>
        <v xml:space="preserve">   Ouvrages en matières plastiques et ouvrages en autres matières du n° 3901 à 3914, n.d.a.</v>
      </c>
      <c r="C9010">
        <v>2658890</v>
      </c>
      <c r="D9010">
        <v>302.89999999999998</v>
      </c>
    </row>
    <row r="9011" spans="1:4" x14ac:dyDescent="0.25">
      <c r="A9011" t="str">
        <f>T("   400941")</f>
        <v xml:space="preserve">   400941</v>
      </c>
      <c r="B9011" t="str">
        <f>T("   Tubes et tuyaux en caoutchouc vulcanisé non durci, renforcés à l'aide d'autres matières que le métal ou les matières textiles ou autrement associés à d'autres matières que le métal ou les matières textiles, sans accessoires")</f>
        <v xml:space="preserve">   Tubes et tuyaux en caoutchouc vulcanisé non durci, renforcés à l'aide d'autres matières que le métal ou les matières textiles ou autrement associés à d'autres matières que le métal ou les matières textiles, sans accessoires</v>
      </c>
      <c r="C9011">
        <v>1203916</v>
      </c>
      <c r="D9011">
        <v>175</v>
      </c>
    </row>
    <row r="9012" spans="1:4" x14ac:dyDescent="0.25">
      <c r="A9012" t="str">
        <f>T("   400942")</f>
        <v xml:space="preserve">   400942</v>
      </c>
      <c r="B9012" t="s">
        <v>155</v>
      </c>
      <c r="C9012">
        <v>515585</v>
      </c>
      <c r="D9012">
        <v>6</v>
      </c>
    </row>
    <row r="9013" spans="1:4" x14ac:dyDescent="0.25">
      <c r="A9013" t="str">
        <f>T("   401120")</f>
        <v xml:space="preserve">   401120</v>
      </c>
      <c r="B9013"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9013">
        <v>32342764</v>
      </c>
      <c r="D9013">
        <v>13765</v>
      </c>
    </row>
    <row r="9014" spans="1:4" x14ac:dyDescent="0.25">
      <c r="A9014" t="str">
        <f>T("   401193")</f>
        <v xml:space="preserve">   401193</v>
      </c>
      <c r="B9014" t="str">
        <f>T("   Pneumatiques neufs, en caoutchouc, des types utilisés pour les véhicules et engins de génie civil et de manutention industrielle, pour jantes d'un diamètre &lt;= 61 cm (à l'excl. des pneumatiques à crampons, à chevrons ou simil.)")</f>
        <v xml:space="preserve">   Pneumatiques neufs, en caoutchouc, des types utilisés pour les véhicules et engins de génie civil et de manutention industrielle, pour jantes d'un diamètre &lt;= 61 cm (à l'excl. des pneumatiques à crampons, à chevrons ou simil.)</v>
      </c>
      <c r="C9014">
        <v>25057672</v>
      </c>
      <c r="D9014">
        <v>6850</v>
      </c>
    </row>
    <row r="9015" spans="1:4" x14ac:dyDescent="0.25">
      <c r="A9015" t="str">
        <f>T("   401199")</f>
        <v xml:space="preserve">   401199</v>
      </c>
      <c r="B9015" t="s">
        <v>158</v>
      </c>
      <c r="C9015">
        <v>213840992</v>
      </c>
      <c r="D9015">
        <v>59111</v>
      </c>
    </row>
    <row r="9016" spans="1:4" x14ac:dyDescent="0.25">
      <c r="A9016" t="str">
        <f>T("   401220")</f>
        <v xml:space="preserve">   401220</v>
      </c>
      <c r="B9016" t="str">
        <f>T("   Pneumatiques usagés, en caoutchouc")</f>
        <v xml:space="preserve">   Pneumatiques usagés, en caoutchouc</v>
      </c>
      <c r="C9016">
        <v>15982104</v>
      </c>
      <c r="D9016">
        <v>21703</v>
      </c>
    </row>
    <row r="9017" spans="1:4" x14ac:dyDescent="0.25">
      <c r="A9017" t="str">
        <f>T("   401511")</f>
        <v xml:space="preserve">   401511</v>
      </c>
      <c r="B9017" t="str">
        <f>T("   Gants en caoutchouc vulcanisé non durci, pour la chirurgie")</f>
        <v xml:space="preserve">   Gants en caoutchouc vulcanisé non durci, pour la chirurgie</v>
      </c>
      <c r="C9017">
        <v>5765888</v>
      </c>
      <c r="D9017">
        <v>948</v>
      </c>
    </row>
    <row r="9018" spans="1:4" x14ac:dyDescent="0.25">
      <c r="A9018" t="str">
        <f>T("   401691")</f>
        <v xml:space="preserve">   401691</v>
      </c>
      <c r="B9018" t="s">
        <v>159</v>
      </c>
      <c r="C9018">
        <v>787887</v>
      </c>
      <c r="D9018">
        <v>107</v>
      </c>
    </row>
    <row r="9019" spans="1:4" x14ac:dyDescent="0.25">
      <c r="A9019" t="str">
        <f>T("   401693")</f>
        <v xml:space="preserve">   401693</v>
      </c>
      <c r="B9019" t="str">
        <f>T("   Joints en caoutchouc vulcanisé non durci (à l'excl. des articles en caoutchouc alvéolaire)")</f>
        <v xml:space="preserve">   Joints en caoutchouc vulcanisé non durci (à l'excl. des articles en caoutchouc alvéolaire)</v>
      </c>
      <c r="C9019">
        <v>64940</v>
      </c>
      <c r="D9019">
        <v>2</v>
      </c>
    </row>
    <row r="9020" spans="1:4" x14ac:dyDescent="0.25">
      <c r="A9020" t="str">
        <f>T("   401699")</f>
        <v xml:space="preserve">   401699</v>
      </c>
      <c r="B9020" t="str">
        <f>T("   OUVRAGES EN CAOUTCHOUC VULCANISÉ NON-DURCI, N.D.A.")</f>
        <v xml:space="preserve">   OUVRAGES EN CAOUTCHOUC VULCANISÉ NON-DURCI, N.D.A.</v>
      </c>
      <c r="C9020">
        <v>293870</v>
      </c>
      <c r="D9020">
        <v>29</v>
      </c>
    </row>
    <row r="9021" spans="1:4" x14ac:dyDescent="0.25">
      <c r="A9021" t="str">
        <f>T("   420211")</f>
        <v xml:space="preserve">   420211</v>
      </c>
      <c r="B9021" t="str">
        <f>T("   Malles, valises et mallettes, y.c. les mallettes de toilette et les mallettes porte-documents, serviettes, cartables et contenants simil., à surface extérieure en cuir naturel, en cuir reconstitué ou en cuir verni")</f>
        <v xml:space="preserve">   Malles, valises et mallettes, y.c. les mallettes de toilette et les mallettes porte-documents, serviettes, cartables et contenants simil., à surface extérieure en cuir naturel, en cuir reconstitué ou en cuir verni</v>
      </c>
      <c r="C9021">
        <v>2001605</v>
      </c>
      <c r="D9021">
        <v>20</v>
      </c>
    </row>
    <row r="9022" spans="1:4" x14ac:dyDescent="0.25">
      <c r="A9022" t="str">
        <f>T("   420212")</f>
        <v xml:space="preserve">   420212</v>
      </c>
      <c r="B9022" t="str">
        <f>T("   Malles, valises et mallettes, y.c. les mallettes de toilette et les mallettes porte-documents, serviettes, cartables et contenants simil., à surface extérieure en matières plastiques ou en matières textiles")</f>
        <v xml:space="preserve">   Malles, valises et mallettes, y.c. les mallettes de toilette et les mallettes porte-documents, serviettes, cartables et contenants simil., à surface extérieure en matières plastiques ou en matières textiles</v>
      </c>
      <c r="C9022">
        <v>1514265</v>
      </c>
      <c r="D9022">
        <v>121</v>
      </c>
    </row>
    <row r="9023" spans="1:4" x14ac:dyDescent="0.25">
      <c r="A9023" t="str">
        <f>T("   420219")</f>
        <v xml:space="preserve">   420219</v>
      </c>
      <c r="B9023" t="s">
        <v>162</v>
      </c>
      <c r="C9023">
        <v>29760</v>
      </c>
      <c r="D9023">
        <v>9</v>
      </c>
    </row>
    <row r="9024" spans="1:4" x14ac:dyDescent="0.25">
      <c r="A9024" t="str">
        <f>T("   420221")</f>
        <v xml:space="preserve">   420221</v>
      </c>
      <c r="B9024" t="str">
        <f>T("   Sacs à main, même à bandoulière, y.c. ceux sans poignée, à surface extérieure en cuir naturel, en cuir reconstitué ou en cuir verni")</f>
        <v xml:space="preserve">   Sacs à main, même à bandoulière, y.c. ceux sans poignée, à surface extérieure en cuir naturel, en cuir reconstitué ou en cuir verni</v>
      </c>
      <c r="C9024">
        <v>5073664</v>
      </c>
      <c r="D9024">
        <v>50</v>
      </c>
    </row>
    <row r="9025" spans="1:4" x14ac:dyDescent="0.25">
      <c r="A9025" t="str">
        <f>T("   420229")</f>
        <v xml:space="preserve">   420229</v>
      </c>
      <c r="B9025"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9025">
        <v>2000405</v>
      </c>
      <c r="D9025">
        <v>7120</v>
      </c>
    </row>
    <row r="9026" spans="1:4" x14ac:dyDescent="0.25">
      <c r="A9026" t="str">
        <f>T("   420291")</f>
        <v xml:space="preserve">   420291</v>
      </c>
      <c r="B9026" t="s">
        <v>164</v>
      </c>
      <c r="C9026">
        <v>272100</v>
      </c>
      <c r="D9026">
        <v>6</v>
      </c>
    </row>
    <row r="9027" spans="1:4" x14ac:dyDescent="0.25">
      <c r="A9027" t="str">
        <f>T("   420292")</f>
        <v xml:space="preserve">   420292</v>
      </c>
      <c r="B9027" t="s">
        <v>164</v>
      </c>
      <c r="C9027">
        <v>27550</v>
      </c>
      <c r="D9027">
        <v>59</v>
      </c>
    </row>
    <row r="9028" spans="1:4" x14ac:dyDescent="0.25">
      <c r="A9028" t="str">
        <f>T("   480100")</f>
        <v xml:space="preserve">   480100</v>
      </c>
      <c r="B9028" t="str">
        <f>T("   Papier journal, en rouleaux d'une largeur &gt; 36 cm ou en feuilles de forme carrée ou rectangulaire dont au moins un coté &gt; 36 cm et l'autre &gt; 15 cm à l'état non plié")</f>
        <v xml:space="preserve">   Papier journal, en rouleaux d'une largeur &gt; 36 cm ou en feuilles de forme carrée ou rectangulaire dont au moins un coté &gt; 36 cm et l'autre &gt; 15 cm à l'état non plié</v>
      </c>
      <c r="C9028">
        <v>52456511</v>
      </c>
      <c r="D9028">
        <v>148228</v>
      </c>
    </row>
    <row r="9029" spans="1:4" x14ac:dyDescent="0.25">
      <c r="A9029" t="str">
        <f>T("   480210")</f>
        <v xml:space="preserve">   480210</v>
      </c>
      <c r="B9029" t="str">
        <f>T("   Papiers et cartons formés feuille à feuille [papiers à la main], de tout format et de toute forme")</f>
        <v xml:space="preserve">   Papiers et cartons formés feuille à feuille [papiers à la main], de tout format et de toute forme</v>
      </c>
      <c r="C9029">
        <v>16796512</v>
      </c>
      <c r="D9029">
        <v>45466</v>
      </c>
    </row>
    <row r="9030" spans="1:4" x14ac:dyDescent="0.25">
      <c r="A9030" t="str">
        <f>T("   480257")</f>
        <v xml:space="preserve">   480257</v>
      </c>
      <c r="B9030" t="s">
        <v>195</v>
      </c>
      <c r="C9030">
        <v>209746115</v>
      </c>
      <c r="D9030">
        <v>338280</v>
      </c>
    </row>
    <row r="9031" spans="1:4" x14ac:dyDescent="0.25">
      <c r="A9031" t="str">
        <f>T("   480920")</f>
        <v xml:space="preserve">   480920</v>
      </c>
      <c r="B9031" t="str">
        <f>T("   PAPIERS DITS 'AUTOCOPIANTS', MÊME IMPRIMÉS, EN ROULEAUX D'UNE LARGEUR &gt; 36 CM OU EN FEUILLES DE FORME CARRÉE OU RECTANGULAIRE DONT UN CÔTÉ AU MOINS &gt; 36 CM À L'ÉTAT NON-PLIÉ (À L'EXCL. DES PAPIERS CARBONE ET DES PAPIERS SIMIL.)")</f>
        <v xml:space="preserve">   PAPIERS DITS 'AUTOCOPIANTS', MÊME IMPRIMÉS, EN ROULEAUX D'UNE LARGEUR &gt; 36 CM OU EN FEUILLES DE FORME CARRÉE OU RECTANGULAIRE DONT UN CÔTÉ AU MOINS &gt; 36 CM À L'ÉTAT NON-PLIÉ (À L'EXCL. DES PAPIERS CARBONE ET DES PAPIERS SIMIL.)</v>
      </c>
      <c r="C9031">
        <v>39112795</v>
      </c>
      <c r="D9031">
        <v>42543</v>
      </c>
    </row>
    <row r="9032" spans="1:4" x14ac:dyDescent="0.25">
      <c r="A9032" t="str">
        <f>T("   481029")</f>
        <v xml:space="preserve">   481029</v>
      </c>
      <c r="B9032" t="s">
        <v>209</v>
      </c>
      <c r="C9032">
        <v>17689213</v>
      </c>
      <c r="D9032">
        <v>36275</v>
      </c>
    </row>
    <row r="9033" spans="1:4" x14ac:dyDescent="0.25">
      <c r="A9033" t="str">
        <f>T("   481099")</f>
        <v xml:space="preserve">   481099</v>
      </c>
      <c r="B9033" t="s">
        <v>211</v>
      </c>
      <c r="C9033">
        <v>26052554</v>
      </c>
      <c r="D9033">
        <v>49836</v>
      </c>
    </row>
    <row r="9034" spans="1:4" x14ac:dyDescent="0.25">
      <c r="A9034" t="str">
        <f>T("   481620")</f>
        <v xml:space="preserve">   481620</v>
      </c>
      <c r="B9034" t="s">
        <v>214</v>
      </c>
      <c r="C9034">
        <v>12822214</v>
      </c>
      <c r="D9034">
        <v>12093</v>
      </c>
    </row>
    <row r="9035" spans="1:4" x14ac:dyDescent="0.25">
      <c r="A9035" t="str">
        <f>T("   481910")</f>
        <v xml:space="preserve">   481910</v>
      </c>
      <c r="B9035" t="str">
        <f>T("   Boîtes et caisses en papier ou en carton ondulé")</f>
        <v xml:space="preserve">   Boîtes et caisses en papier ou en carton ondulé</v>
      </c>
      <c r="C9035">
        <v>12764659</v>
      </c>
      <c r="D9035">
        <v>28283</v>
      </c>
    </row>
    <row r="9036" spans="1:4" x14ac:dyDescent="0.25">
      <c r="A9036" t="str">
        <f>T("   481920")</f>
        <v xml:space="preserve">   481920</v>
      </c>
      <c r="B9036" t="str">
        <f>T("   Boîtes et cartonnages, pliants, en papier ou en carton non ondulé")</f>
        <v xml:space="preserve">   Boîtes et cartonnages, pliants, en papier ou en carton non ondulé</v>
      </c>
      <c r="C9036">
        <v>1093055</v>
      </c>
      <c r="D9036">
        <v>169</v>
      </c>
    </row>
    <row r="9037" spans="1:4" x14ac:dyDescent="0.25">
      <c r="A9037" t="str">
        <f>T("   481940")</f>
        <v xml:space="preserve">   481940</v>
      </c>
      <c r="B9037" t="str">
        <f>T("   Sacs, sachets, pochettes et cornets, en papier, carton, ouate de cellulose ou nappes de fibres de cellulose (à l'excl. des pochettes pour disques et des sacs d'une largeur à la base &gt;= 40 cm)")</f>
        <v xml:space="preserve">   Sacs, sachets, pochettes et cornets, en papier, carton, ouate de cellulose ou nappes de fibres de cellulose (à l'excl. des pochettes pour disques et des sacs d'une largeur à la base &gt;= 40 cm)</v>
      </c>
      <c r="C9037">
        <v>508717</v>
      </c>
      <c r="D9037">
        <v>245</v>
      </c>
    </row>
    <row r="9038" spans="1:4" x14ac:dyDescent="0.25">
      <c r="A9038" t="str">
        <f>T("   482090")</f>
        <v xml:space="preserve">   482090</v>
      </c>
      <c r="B9038" t="s">
        <v>219</v>
      </c>
      <c r="C9038">
        <v>462222</v>
      </c>
      <c r="D9038">
        <v>321</v>
      </c>
    </row>
    <row r="9039" spans="1:4" x14ac:dyDescent="0.25">
      <c r="A9039" t="str">
        <f>T("   482390")</f>
        <v xml:space="preserve">   482390</v>
      </c>
      <c r="B9039" t="s">
        <v>220</v>
      </c>
      <c r="C9039">
        <v>5373</v>
      </c>
      <c r="D9039">
        <v>8</v>
      </c>
    </row>
    <row r="9040" spans="1:4" x14ac:dyDescent="0.25">
      <c r="A9040" t="str">
        <f>T("   490199")</f>
        <v xml:space="preserve">   490199</v>
      </c>
      <c r="B9040"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9040">
        <v>4536894</v>
      </c>
      <c r="D9040">
        <v>7054.6</v>
      </c>
    </row>
    <row r="9041" spans="1:4" x14ac:dyDescent="0.25">
      <c r="A9041" t="str">
        <f>T("   491000")</f>
        <v xml:space="preserve">   491000</v>
      </c>
      <c r="B9041" t="str">
        <f>T("   Calendriers de tous genres, imprimés, y.c. les blocs de calendriers à effeuiller")</f>
        <v xml:space="preserve">   Calendriers de tous genres, imprimés, y.c. les blocs de calendriers à effeuiller</v>
      </c>
      <c r="C9041">
        <v>4368897</v>
      </c>
      <c r="D9041">
        <v>1931.5</v>
      </c>
    </row>
    <row r="9042" spans="1:4" x14ac:dyDescent="0.25">
      <c r="A9042" t="str">
        <f>T("   491110")</f>
        <v xml:space="preserve">   491110</v>
      </c>
      <c r="B9042" t="str">
        <f>T("   Imprimés publicitaires, catalogues commerciaux et simil.")</f>
        <v xml:space="preserve">   Imprimés publicitaires, catalogues commerciaux et simil.</v>
      </c>
      <c r="C9042">
        <v>2370166</v>
      </c>
      <c r="D9042">
        <v>2063.3000000000002</v>
      </c>
    </row>
    <row r="9043" spans="1:4" x14ac:dyDescent="0.25">
      <c r="A9043" t="str">
        <f>T("   491199")</f>
        <v xml:space="preserve">   491199</v>
      </c>
      <c r="B9043" t="str">
        <f>T("   Imprimés, n.d.a.")</f>
        <v xml:space="preserve">   Imprimés, n.d.a.</v>
      </c>
      <c r="C9043">
        <v>384920</v>
      </c>
      <c r="D9043">
        <v>308</v>
      </c>
    </row>
    <row r="9044" spans="1:4" x14ac:dyDescent="0.25">
      <c r="A9044" t="str">
        <f>T("   500720")</f>
        <v xml:space="preserve">   500720</v>
      </c>
      <c r="B9044" t="str">
        <f>T("   Tissus contenant &gt;= 85% en poids de soie ou de déchets de soie (autres que la bourrette)")</f>
        <v xml:space="preserve">   Tissus contenant &gt;= 85% en poids de soie ou de déchets de soie (autres que la bourrette)</v>
      </c>
      <c r="C9044">
        <v>1664961</v>
      </c>
      <c r="D9044">
        <v>6</v>
      </c>
    </row>
    <row r="9045" spans="1:4" x14ac:dyDescent="0.25">
      <c r="A9045" t="str">
        <f>T("   520852")</f>
        <v xml:space="preserve">   520852</v>
      </c>
      <c r="B9045" t="str">
        <f>T("   Tissus de coton, imprimés, à armure toile, contenant &gt;= 85% en poids de coton, d'un poids &gt; 100 g/m² mais &lt;= 200 g/m²")</f>
        <v xml:space="preserve">   Tissus de coton, imprimés, à armure toile, contenant &gt;= 85% en poids de coton, d'un poids &gt; 100 g/m² mais &lt;= 200 g/m²</v>
      </c>
      <c r="C9045">
        <v>1841726475</v>
      </c>
      <c r="D9045">
        <v>825215.2</v>
      </c>
    </row>
    <row r="9046" spans="1:4" x14ac:dyDescent="0.25">
      <c r="A9046" t="str">
        <f>T("   570190")</f>
        <v xml:space="preserve">   570190</v>
      </c>
      <c r="B9046" t="str">
        <f>T("   Tapis en matières textiles, à points noués ou enroulés, même confectionnés (à l'excl. des tapis de laine ou de poils fins)")</f>
        <v xml:space="preserve">   Tapis en matières textiles, à points noués ou enroulés, même confectionnés (à l'excl. des tapis de laine ou de poils fins)</v>
      </c>
      <c r="C9046">
        <v>10000</v>
      </c>
      <c r="D9046">
        <v>15</v>
      </c>
    </row>
    <row r="9047" spans="1:4" x14ac:dyDescent="0.25">
      <c r="A9047" t="str">
        <f>T("   570330")</f>
        <v xml:space="preserve">   570330</v>
      </c>
      <c r="B9047" t="str">
        <f>T("   Tapis et autres revêtements de sol, de matières textiles synthétiques ou artificielles, touffetés, même confectionnés (à l'excl. des articles en nylon ou en autres polyamides)")</f>
        <v xml:space="preserve">   Tapis et autres revêtements de sol, de matières textiles synthétiques ou artificielles, touffetés, même confectionnés (à l'excl. des articles en nylon ou en autres polyamides)</v>
      </c>
      <c r="C9047">
        <v>100362</v>
      </c>
      <c r="D9047">
        <v>250</v>
      </c>
    </row>
    <row r="9048" spans="1:4" x14ac:dyDescent="0.25">
      <c r="A9048" t="str">
        <f>T("   610319")</f>
        <v xml:space="preserve">   610319</v>
      </c>
      <c r="B9048" t="str">
        <f>T("   Costumes ou complets en bonneterie, de matières textiles, pour hommes ou garçonnets (sauf de laine, poils fins ou fibres synthétiques et sauf survêtements de sport 'trainings', combinaisons et ensembles de ski, maillots, culottes et slips de bain)")</f>
        <v xml:space="preserve">   Costumes ou complets en bonneterie, de matières textiles, pour hommes ou garçonnets (sauf de laine, poils fins ou fibres synthétiques et sauf survêtements de sport 'trainings', combinaisons et ensembles de ski, maillots, culottes et slips de bain)</v>
      </c>
      <c r="C9048">
        <v>19077199</v>
      </c>
      <c r="D9048">
        <v>602</v>
      </c>
    </row>
    <row r="9049" spans="1:4" x14ac:dyDescent="0.25">
      <c r="A9049" t="str">
        <f>T("   610510")</f>
        <v xml:space="preserve">   610510</v>
      </c>
      <c r="B9049" t="str">
        <f>T("   Chemises et chemisettes, en bonneterie, de coton, pour hommes ou garçonnets (sauf chemises de nuit, T-shirts et maillots de corps)")</f>
        <v xml:space="preserve">   Chemises et chemisettes, en bonneterie, de coton, pour hommes ou garçonnets (sauf chemises de nuit, T-shirts et maillots de corps)</v>
      </c>
      <c r="C9049">
        <v>157431</v>
      </c>
      <c r="D9049">
        <v>79</v>
      </c>
    </row>
    <row r="9050" spans="1:4" x14ac:dyDescent="0.25">
      <c r="A9050" t="str">
        <f>T("   610590")</f>
        <v xml:space="preserve">   610590</v>
      </c>
      <c r="B9050" t="str">
        <f>T("   Chemises et chemisettes, en bonneterie, de matières textiles, pour hommes ou garçonnets (sauf de coton, fibres synthétiques ou artificielles et sauf chemises de nuit, T-shirts et maillots de corps)")</f>
        <v xml:space="preserve">   Chemises et chemisettes, en bonneterie, de matières textiles, pour hommes ou garçonnets (sauf de coton, fibres synthétiques ou artificielles et sauf chemises de nuit, T-shirts et maillots de corps)</v>
      </c>
      <c r="C9050">
        <v>2165113</v>
      </c>
      <c r="D9050">
        <v>7339</v>
      </c>
    </row>
    <row r="9051" spans="1:4" x14ac:dyDescent="0.25">
      <c r="A9051" t="str">
        <f>T("   610910")</f>
        <v xml:space="preserve">   610910</v>
      </c>
      <c r="B9051" t="str">
        <f>T("   T-shirts et maillots de corps, en bonneterie, de coton,")</f>
        <v xml:space="preserve">   T-shirts et maillots de corps, en bonneterie, de coton,</v>
      </c>
      <c r="C9051">
        <v>314224</v>
      </c>
      <c r="D9051">
        <v>316</v>
      </c>
    </row>
    <row r="9052" spans="1:4" x14ac:dyDescent="0.25">
      <c r="A9052" t="str">
        <f>T("   610990")</f>
        <v xml:space="preserve">   610990</v>
      </c>
      <c r="B9052" t="str">
        <f>T("   T-shirts et maillots de corps, en bonneterie, de matières textiles (sauf de coton)")</f>
        <v xml:space="preserve">   T-shirts et maillots de corps, en bonneterie, de matières textiles (sauf de coton)</v>
      </c>
      <c r="C9052">
        <v>32286</v>
      </c>
      <c r="D9052">
        <v>55</v>
      </c>
    </row>
    <row r="9053" spans="1:4" x14ac:dyDescent="0.25">
      <c r="A9053" t="str">
        <f>T("   620442")</f>
        <v xml:space="preserve">   620442</v>
      </c>
      <c r="B9053" t="str">
        <f>T("   Robes de coton, pour femmes ou fillettes (autres qu'en bonneterie et sauf combinaisons et fonds de robes)")</f>
        <v xml:space="preserve">   Robes de coton, pour femmes ou fillettes (autres qu'en bonneterie et sauf combinaisons et fonds de robes)</v>
      </c>
      <c r="C9053">
        <v>18508930</v>
      </c>
      <c r="D9053">
        <v>225.5</v>
      </c>
    </row>
    <row r="9054" spans="1:4" x14ac:dyDescent="0.25">
      <c r="A9054" t="str">
        <f>T("   620469")</f>
        <v xml:space="preserve">   620469</v>
      </c>
      <c r="B9054" t="s">
        <v>267</v>
      </c>
      <c r="C9054">
        <v>870289</v>
      </c>
      <c r="D9054">
        <v>158</v>
      </c>
    </row>
    <row r="9055" spans="1:4" x14ac:dyDescent="0.25">
      <c r="A9055" t="str">
        <f>T("   620590")</f>
        <v xml:space="preserve">   620590</v>
      </c>
      <c r="B9055"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9055">
        <v>600000</v>
      </c>
      <c r="D9055">
        <v>900</v>
      </c>
    </row>
    <row r="9056" spans="1:4" x14ac:dyDescent="0.25">
      <c r="A9056" t="str">
        <f>T("   620610")</f>
        <v xml:space="preserve">   620610</v>
      </c>
      <c r="B9056" t="str">
        <f>T("   Chemisiers, blouses, blouses-chemisiers et chemisettes, de soie ou de déchets de soie, pour femmes ou fillettes (autres qu'en bonneterie et sauf gilets de corps et chemises de jour)")</f>
        <v xml:space="preserve">   Chemisiers, blouses, blouses-chemisiers et chemisettes, de soie ou de déchets de soie, pour femmes ou fillettes (autres qu'en bonneterie et sauf gilets de corps et chemises de jour)</v>
      </c>
      <c r="C9056">
        <v>935539</v>
      </c>
      <c r="D9056">
        <v>10</v>
      </c>
    </row>
    <row r="9057" spans="1:4" x14ac:dyDescent="0.25">
      <c r="A9057" t="str">
        <f>T("   620990")</f>
        <v xml:space="preserve">   620990</v>
      </c>
      <c r="B9057" t="str">
        <f>T("   VÊTEMENTS ET ACCESSOIRES DU VÊTEMENT, DE MATIÈRES TEXTILES, POUR BÉBÉS (AUTRES QUE DE COTON, FIBRES SYNTHÉTIQUES, AUTRES QU'EN BONNETERIE ET SAUF BONNETS)")</f>
        <v xml:space="preserve">   VÊTEMENTS ET ACCESSOIRES DU VÊTEMENT, DE MATIÈRES TEXTILES, POUR BÉBÉS (AUTRES QUE DE COTON, FIBRES SYNTHÉTIQUES, AUTRES QU'EN BONNETERIE ET SAUF BONNETS)</v>
      </c>
      <c r="C9057">
        <v>95436</v>
      </c>
      <c r="D9057">
        <v>340</v>
      </c>
    </row>
    <row r="9058" spans="1:4" x14ac:dyDescent="0.25">
      <c r="A9058" t="str">
        <f>T("   621050")</f>
        <v xml:space="preserve">   621050</v>
      </c>
      <c r="B9058" t="s">
        <v>272</v>
      </c>
      <c r="C9058">
        <v>1150430</v>
      </c>
      <c r="D9058">
        <v>4600</v>
      </c>
    </row>
    <row r="9059" spans="1:4" x14ac:dyDescent="0.25">
      <c r="A9059" t="str">
        <f>T("   621132")</f>
        <v xml:space="preserve">   621132</v>
      </c>
      <c r="B9059" t="str">
        <f>T("   Survêtements de sport 'trainings' et autres vêtements n.d.a., de coton, pour hommes ou garçonnets (autres qu'en bonneterie)")</f>
        <v xml:space="preserve">   Survêtements de sport 'trainings' et autres vêtements n.d.a., de coton, pour hommes ou garçonnets (autres qu'en bonneterie)</v>
      </c>
      <c r="C9059">
        <v>34479225</v>
      </c>
      <c r="D9059">
        <v>8155</v>
      </c>
    </row>
    <row r="9060" spans="1:4" x14ac:dyDescent="0.25">
      <c r="A9060" t="str">
        <f>T("   621410")</f>
        <v xml:space="preserve">   621410</v>
      </c>
      <c r="B9060" t="str">
        <f>T("   Châles, écharpes, foulards, cache-nez, cache-col, mantilles, voiles et voilettes et articles simil., de soie ou de déchets de soie (autres qu'en bonneterie)")</f>
        <v xml:space="preserve">   Châles, écharpes, foulards, cache-nez, cache-col, mantilles, voiles et voilettes et articles simil., de soie ou de déchets de soie (autres qu'en bonneterie)</v>
      </c>
      <c r="C9060">
        <v>2175288</v>
      </c>
      <c r="D9060">
        <v>12</v>
      </c>
    </row>
    <row r="9061" spans="1:4" x14ac:dyDescent="0.25">
      <c r="A9061" t="str">
        <f>T("   621710")</f>
        <v xml:space="preserve">   621710</v>
      </c>
      <c r="B9061" t="str">
        <f>T("   Accessoires confectionnés du vêtement en tous types de matières textiles, n.d.a. (autres qu'en bonneterie)")</f>
        <v xml:space="preserve">   Accessoires confectionnés du vêtement en tous types de matières textiles, n.d.a. (autres qu'en bonneterie)</v>
      </c>
      <c r="C9061">
        <v>4155613</v>
      </c>
      <c r="D9061">
        <v>25</v>
      </c>
    </row>
    <row r="9062" spans="1:4" x14ac:dyDescent="0.25">
      <c r="A9062" t="str">
        <f>T("   630319")</f>
        <v xml:space="preserve">   630319</v>
      </c>
      <c r="B9062" t="str">
        <f>T("   Vitrages, rideaux et stores d'intérieur ainsi que cantonnières et tours de lit, en bonneterie (autres que de coton et fibres synthétiques et autres que stores d'extérieur)")</f>
        <v xml:space="preserve">   Vitrages, rideaux et stores d'intérieur ainsi que cantonnières et tours de lit, en bonneterie (autres que de coton et fibres synthétiques et autres que stores d'extérieur)</v>
      </c>
      <c r="C9062">
        <v>2200746</v>
      </c>
      <c r="D9062">
        <v>3232</v>
      </c>
    </row>
    <row r="9063" spans="1:4" x14ac:dyDescent="0.25">
      <c r="A9063" t="str">
        <f>T("   630520")</f>
        <v xml:space="preserve">   630520</v>
      </c>
      <c r="B9063" t="str">
        <f>T("   SACS ET SACHETS D'EMBALLAGE DE COTON")</f>
        <v xml:space="preserve">   SACS ET SACHETS D'EMBALLAGE DE COTON</v>
      </c>
      <c r="C9063">
        <v>40716</v>
      </c>
      <c r="D9063">
        <v>73</v>
      </c>
    </row>
    <row r="9064" spans="1:4" x14ac:dyDescent="0.25">
      <c r="A9064" t="str">
        <f>T("   630790")</f>
        <v xml:space="preserve">   630790</v>
      </c>
      <c r="B9064" t="str">
        <f>T("   Articles de matières textiles, confectionnés, y.c. les patrons de vêtements n.d.a.")</f>
        <v xml:space="preserve">   Articles de matières textiles, confectionnés, y.c. les patrons de vêtements n.d.a.</v>
      </c>
      <c r="C9064">
        <v>389037</v>
      </c>
      <c r="D9064">
        <v>224.8</v>
      </c>
    </row>
    <row r="9065" spans="1:4" x14ac:dyDescent="0.25">
      <c r="A9065" t="str">
        <f>T("   630900")</f>
        <v xml:space="preserve">   630900</v>
      </c>
      <c r="B9065" t="s">
        <v>278</v>
      </c>
      <c r="C9065">
        <v>658109640</v>
      </c>
      <c r="D9065">
        <v>1255638</v>
      </c>
    </row>
    <row r="9066" spans="1:4" x14ac:dyDescent="0.25">
      <c r="A9066" t="str">
        <f>T("   640299")</f>
        <v xml:space="preserve">   640299</v>
      </c>
      <c r="B9066" t="s">
        <v>283</v>
      </c>
      <c r="C9066">
        <v>670370</v>
      </c>
      <c r="D9066">
        <v>14</v>
      </c>
    </row>
    <row r="9067" spans="1:4" x14ac:dyDescent="0.25">
      <c r="A9067" t="str">
        <f>T("   640351")</f>
        <v xml:space="preserve">   640351</v>
      </c>
      <c r="B9067" t="str">
        <f>T("   Chaussures à semelles extérieures et dessus en cuir naturel, couvrant la cheville (sauf avec coquille de protection en métal à l'avant et sauf chaussures de sport, d'orthopédie ou ayant le caractère de jouets)")</f>
        <v xml:space="preserve">   Chaussures à semelles extérieures et dessus en cuir naturel, couvrant la cheville (sauf avec coquille de protection en métal à l'avant et sauf chaussures de sport, d'orthopédie ou ayant le caractère de jouets)</v>
      </c>
      <c r="C9067">
        <v>1014370</v>
      </c>
      <c r="D9067">
        <v>17.399999999999999</v>
      </c>
    </row>
    <row r="9068" spans="1:4" x14ac:dyDescent="0.25">
      <c r="A9068" t="str">
        <f>T("   640419")</f>
        <v xml:space="preserve">   640419</v>
      </c>
      <c r="B9068" t="s">
        <v>288</v>
      </c>
      <c r="C9068">
        <v>3271635</v>
      </c>
      <c r="D9068">
        <v>14</v>
      </c>
    </row>
    <row r="9069" spans="1:4" x14ac:dyDescent="0.25">
      <c r="A9069" t="str">
        <f>T("   640590")</f>
        <v xml:space="preserve">   640590</v>
      </c>
      <c r="B9069" t="s">
        <v>289</v>
      </c>
      <c r="C9069">
        <v>564091</v>
      </c>
      <c r="D9069">
        <v>12</v>
      </c>
    </row>
    <row r="9070" spans="1:4" x14ac:dyDescent="0.25">
      <c r="A9070" t="str">
        <f>T("   650590")</f>
        <v xml:space="preserve">   650590</v>
      </c>
      <c r="B9070" t="s">
        <v>290</v>
      </c>
      <c r="C9070">
        <v>299459</v>
      </c>
      <c r="D9070">
        <v>180</v>
      </c>
    </row>
    <row r="9071" spans="1:4" x14ac:dyDescent="0.25">
      <c r="A9071" t="str">
        <f>T("   660110")</f>
        <v xml:space="preserve">   660110</v>
      </c>
      <c r="B9071" t="str">
        <f>T("   Parasols de jardin et articles simil. (sauf tentes de plage)")</f>
        <v xml:space="preserve">   Parasols de jardin et articles simil. (sauf tentes de plage)</v>
      </c>
      <c r="C9071">
        <v>393845</v>
      </c>
      <c r="D9071">
        <v>311</v>
      </c>
    </row>
    <row r="9072" spans="1:4" x14ac:dyDescent="0.25">
      <c r="A9072" t="str">
        <f>T("   660199")</f>
        <v xml:space="preserve">   660199</v>
      </c>
      <c r="B9072" t="str">
        <f>T("   Parapluies, y.c. les parapluies-cannes et ombrelles (sauf parapluies et ombrelles à mât ou à manche télescopique, parasols de jardin et articles simil. et sauf jouets d'enfants)")</f>
        <v xml:space="preserve">   Parapluies, y.c. les parapluies-cannes et ombrelles (sauf parapluies et ombrelles à mât ou à manche télescopique, parasols de jardin et articles simil. et sauf jouets d'enfants)</v>
      </c>
      <c r="C9072">
        <v>53914</v>
      </c>
      <c r="D9072">
        <v>57</v>
      </c>
    </row>
    <row r="9073" spans="1:4" x14ac:dyDescent="0.25">
      <c r="A9073" t="str">
        <f>T("   690890")</f>
        <v xml:space="preserve">   690890</v>
      </c>
      <c r="B9073" t="s">
        <v>311</v>
      </c>
      <c r="C9073">
        <v>1475910</v>
      </c>
      <c r="D9073">
        <v>3200</v>
      </c>
    </row>
    <row r="9074" spans="1:4" x14ac:dyDescent="0.25">
      <c r="A9074" t="str">
        <f>T("   691190")</f>
        <v xml:space="preserve">   691190</v>
      </c>
      <c r="B9074" t="s">
        <v>315</v>
      </c>
      <c r="C9074">
        <v>819949</v>
      </c>
      <c r="D9074">
        <v>950</v>
      </c>
    </row>
    <row r="9075" spans="1:4" x14ac:dyDescent="0.25">
      <c r="A9075" t="str">
        <f>T("   691200")</f>
        <v xml:space="preserve">   691200</v>
      </c>
      <c r="B9075" t="s">
        <v>316</v>
      </c>
      <c r="C9075">
        <v>4270460</v>
      </c>
      <c r="D9075">
        <v>1404</v>
      </c>
    </row>
    <row r="9076" spans="1:4" x14ac:dyDescent="0.25">
      <c r="A9076" t="str">
        <f>T("   700510")</f>
        <v xml:space="preserve">   700510</v>
      </c>
      <c r="B9076" t="str">
        <f>T("   PLAQUES OU FEUILLES EN GLACE [VERRE FLOTTÉ ET VERRE DOUCI OU POLI SUR UNE OU DEUX FACES], À COUCHE ABSORBANTE, RÉFLÉCHISSANTE OU NON-RÉFLÉCHISSANTE, MAIS NON AUTREMENT TRAVAILLÉE (SAUF ARMÉE)")</f>
        <v xml:space="preserve">   PLAQUES OU FEUILLES EN GLACE [VERRE FLOTTÉ ET VERRE DOUCI OU POLI SUR UNE OU DEUX FACES], À COUCHE ABSORBANTE, RÉFLÉCHISSANTE OU NON-RÉFLÉCHISSANTE, MAIS NON AUTREMENT TRAVAILLÉE (SAUF ARMÉE)</v>
      </c>
      <c r="C9076">
        <v>5897577</v>
      </c>
      <c r="D9076">
        <v>24500</v>
      </c>
    </row>
    <row r="9077" spans="1:4" x14ac:dyDescent="0.25">
      <c r="A9077" t="str">
        <f>T("   700529")</f>
        <v xml:space="preserve">   700529</v>
      </c>
      <c r="B9077" t="s">
        <v>318</v>
      </c>
      <c r="C9077">
        <v>17202146</v>
      </c>
      <c r="D9077">
        <v>129820</v>
      </c>
    </row>
    <row r="9078" spans="1:4" x14ac:dyDescent="0.25">
      <c r="A9078" t="str">
        <f>T("   700729")</f>
        <v xml:space="preserve">   700729</v>
      </c>
      <c r="B9078" t="s">
        <v>322</v>
      </c>
      <c r="C9078">
        <v>163990</v>
      </c>
      <c r="D9078">
        <v>6</v>
      </c>
    </row>
    <row r="9079" spans="1:4" x14ac:dyDescent="0.25">
      <c r="A9079" t="str">
        <f>T("   700991")</f>
        <v xml:space="preserve">   700991</v>
      </c>
      <c r="B9079" t="str">
        <f>T("   Miroirs en verre non encadrés (sauf miroirs rétroviseurs pour véhicules, miroirs optiques, optiquement travaillés et miroirs de plus de 100 ans)")</f>
        <v xml:space="preserve">   Miroirs en verre non encadrés (sauf miroirs rétroviseurs pour véhicules, miroirs optiques, optiquement travaillés et miroirs de plus de 100 ans)</v>
      </c>
      <c r="C9079">
        <v>8370706</v>
      </c>
      <c r="D9079">
        <v>22032</v>
      </c>
    </row>
    <row r="9080" spans="1:4" x14ac:dyDescent="0.25">
      <c r="A9080" t="str">
        <f>T("   701329")</f>
        <v xml:space="preserve">   701329</v>
      </c>
      <c r="B9080" t="str">
        <f>T("   Verres à boire (autres qu'en vitrocérame, autres qu'en cristal au plomb)")</f>
        <v xml:space="preserve">   Verres à boire (autres qu'en vitrocérame, autres qu'en cristal au plomb)</v>
      </c>
      <c r="C9080">
        <v>785841</v>
      </c>
      <c r="D9080">
        <v>570</v>
      </c>
    </row>
    <row r="9081" spans="1:4" x14ac:dyDescent="0.25">
      <c r="A9081" t="str">
        <f>T("   701339")</f>
        <v xml:space="preserve">   701339</v>
      </c>
      <c r="B9081" t="s">
        <v>330</v>
      </c>
      <c r="C9081">
        <v>723524</v>
      </c>
      <c r="D9081">
        <v>1674</v>
      </c>
    </row>
    <row r="9082" spans="1:4" x14ac:dyDescent="0.25">
      <c r="A9082" t="str">
        <f>T("   701790")</f>
        <v xml:space="preserve">   701790</v>
      </c>
      <c r="B9082" t="s">
        <v>337</v>
      </c>
      <c r="C9082">
        <v>227618</v>
      </c>
      <c r="D9082">
        <v>38</v>
      </c>
    </row>
    <row r="9083" spans="1:4" x14ac:dyDescent="0.25">
      <c r="A9083" t="str">
        <f>T("   711320")</f>
        <v xml:space="preserve">   711320</v>
      </c>
      <c r="B9083" t="str">
        <f>T("   Articles de bijouterie ou de joaillerie et leurs parties, en plaqués ou doublés de métaux précieux sur métaux communs (sauf &gt; 100 ans)")</f>
        <v xml:space="preserve">   Articles de bijouterie ou de joaillerie et leurs parties, en plaqués ou doublés de métaux précieux sur métaux communs (sauf &gt; 100 ans)</v>
      </c>
      <c r="C9083">
        <v>1512317</v>
      </c>
      <c r="D9083">
        <v>11.9</v>
      </c>
    </row>
    <row r="9084" spans="1:4" x14ac:dyDescent="0.25">
      <c r="A9084" t="str">
        <f>T("   711790")</f>
        <v xml:space="preserve">   711790</v>
      </c>
      <c r="B9084" t="str">
        <f>T("   Bijouterie de fantaisie (autre qu'en métaux communs, même argentés, dorés ou platinés)")</f>
        <v xml:space="preserve">   Bijouterie de fantaisie (autre qu'en métaux communs, même argentés, dorés ou platinés)</v>
      </c>
      <c r="C9084">
        <v>1081116</v>
      </c>
      <c r="D9084">
        <v>5.78</v>
      </c>
    </row>
    <row r="9085" spans="1:4" x14ac:dyDescent="0.25">
      <c r="A9085" t="str">
        <f>T("   721720")</f>
        <v xml:space="preserve">   721720</v>
      </c>
      <c r="B9085" t="str">
        <f>T("   FILS EN FER OU EN ACIERS NON-ALLIÉS, ENROULÉS, ZINGUÉS (À L'EXCL. DU FIL MACHINE)")</f>
        <v xml:space="preserve">   FILS EN FER OU EN ACIERS NON-ALLIÉS, ENROULÉS, ZINGUÉS (À L'EXCL. DU FIL MACHINE)</v>
      </c>
      <c r="C9085">
        <v>4503014</v>
      </c>
      <c r="D9085">
        <v>15000</v>
      </c>
    </row>
    <row r="9086" spans="1:4" x14ac:dyDescent="0.25">
      <c r="A9086" t="str">
        <f>T("   730719")</f>
        <v xml:space="preserve">   730719</v>
      </c>
      <c r="B9086" t="str">
        <f>T("   Accessoires de tuyauterie moulés en fonte, fer ou acier (sauf fonte non-malléable)")</f>
        <v xml:space="preserve">   Accessoires de tuyauterie moulés en fonte, fer ou acier (sauf fonte non-malléable)</v>
      </c>
      <c r="C9086">
        <v>556057</v>
      </c>
      <c r="D9086">
        <v>12</v>
      </c>
    </row>
    <row r="9087" spans="1:4" x14ac:dyDescent="0.25">
      <c r="A9087" t="str">
        <f>T("   730799")</f>
        <v xml:space="preserve">   730799</v>
      </c>
      <c r="B9087" t="str">
        <f>T("   Accessoires de tuyauterie, en fer ou aciers (autres que moulés ou en aciers inoxydables; sauf brides; coudes, courbes et manchons, filetés et sauf accessoires à souder bout à bout)")</f>
        <v xml:space="preserve">   Accessoires de tuyauterie, en fer ou aciers (autres que moulés ou en aciers inoxydables; sauf brides; coudes, courbes et manchons, filetés et sauf accessoires à souder bout à bout)</v>
      </c>
      <c r="C9087">
        <v>105327</v>
      </c>
      <c r="D9087">
        <v>36.5</v>
      </c>
    </row>
    <row r="9088" spans="1:4" x14ac:dyDescent="0.25">
      <c r="A9088" t="str">
        <f>T("   731449")</f>
        <v xml:space="preserve">   731449</v>
      </c>
      <c r="B9088" t="str">
        <f>T("   Toiles métalliques nontissées, grillages et treillis, en fils de fer ou d'acier, non soudés aux points de rencontre (sauf zingués ou recouverts de matières plastiques)")</f>
        <v xml:space="preserve">   Toiles métalliques nontissées, grillages et treillis, en fils de fer ou d'acier, non soudés aux points de rencontre (sauf zingués ou recouverts de matières plastiques)</v>
      </c>
      <c r="C9088">
        <v>12711410</v>
      </c>
      <c r="D9088">
        <v>35240</v>
      </c>
    </row>
    <row r="9089" spans="1:4" x14ac:dyDescent="0.25">
      <c r="A9089" t="str">
        <f>T("   731589")</f>
        <v xml:space="preserve">   731589</v>
      </c>
      <c r="B9089" t="s">
        <v>358</v>
      </c>
      <c r="C9089">
        <v>7952780</v>
      </c>
      <c r="D9089">
        <v>18629</v>
      </c>
    </row>
    <row r="9090" spans="1:4" x14ac:dyDescent="0.25">
      <c r="A9090" t="str">
        <f>T("   731815")</f>
        <v xml:space="preserve">   731815</v>
      </c>
      <c r="B9090" t="s">
        <v>359</v>
      </c>
      <c r="C9090">
        <v>4457012</v>
      </c>
      <c r="D9090">
        <v>100</v>
      </c>
    </row>
    <row r="9091" spans="1:4" x14ac:dyDescent="0.25">
      <c r="A9091" t="str">
        <f>T("   731822")</f>
        <v xml:space="preserve">   731822</v>
      </c>
      <c r="B9091" t="str">
        <f>T("   Rondelles en fonte, fer ou acier (sauf rondelles destinées à faire ressort et autres rondelles de blocage)")</f>
        <v xml:space="preserve">   Rondelles en fonte, fer ou acier (sauf rondelles destinées à faire ressort et autres rondelles de blocage)</v>
      </c>
      <c r="C9091">
        <v>159398</v>
      </c>
      <c r="D9091">
        <v>6</v>
      </c>
    </row>
    <row r="9092" spans="1:4" x14ac:dyDescent="0.25">
      <c r="A9092" t="str">
        <f>T("   732393")</f>
        <v xml:space="preserve">   732393</v>
      </c>
      <c r="B9092" t="s">
        <v>366</v>
      </c>
      <c r="C9092">
        <v>135128</v>
      </c>
      <c r="D9092">
        <v>14</v>
      </c>
    </row>
    <row r="9093" spans="1:4" x14ac:dyDescent="0.25">
      <c r="A9093" t="str">
        <f>T("   732394")</f>
        <v xml:space="preserve">   732394</v>
      </c>
      <c r="B9093" t="s">
        <v>367</v>
      </c>
      <c r="C9093">
        <v>1275000</v>
      </c>
      <c r="D9093">
        <v>1414</v>
      </c>
    </row>
    <row r="9094" spans="1:4" x14ac:dyDescent="0.25">
      <c r="A9094" t="str">
        <f>T("   732399")</f>
        <v xml:space="preserve">   732399</v>
      </c>
      <c r="B9094" t="s">
        <v>368</v>
      </c>
      <c r="C9094">
        <v>13468171</v>
      </c>
      <c r="D9094">
        <v>3674</v>
      </c>
    </row>
    <row r="9095" spans="1:4" x14ac:dyDescent="0.25">
      <c r="A9095" t="str">
        <f>T("   820240")</f>
        <v xml:space="preserve">   820240</v>
      </c>
      <c r="B9095" t="str">
        <f>T("   Chaînes de scies, dites -coupantes-, en métaux communs")</f>
        <v xml:space="preserve">   Chaînes de scies, dites -coupantes-, en métaux communs</v>
      </c>
      <c r="C9095">
        <v>17257</v>
      </c>
      <c r="D9095">
        <v>87</v>
      </c>
    </row>
    <row r="9096" spans="1:4" x14ac:dyDescent="0.25">
      <c r="A9096" t="str">
        <f>T("   820559")</f>
        <v xml:space="preserve">   820559</v>
      </c>
      <c r="B9096" t="str">
        <f>T("   Outils à main, y.c. -les diamants de vitrier-, en métaux communs, n.d.a.")</f>
        <v xml:space="preserve">   Outils à main, y.c. -les diamants de vitrier-, en métaux communs, n.d.a.</v>
      </c>
      <c r="C9096">
        <v>2116068</v>
      </c>
      <c r="D9096">
        <v>15770</v>
      </c>
    </row>
    <row r="9097" spans="1:4" x14ac:dyDescent="0.25">
      <c r="A9097" t="str">
        <f>T("   821000")</f>
        <v xml:space="preserve">   821000</v>
      </c>
      <c r="B9097" t="s">
        <v>378</v>
      </c>
      <c r="C9097">
        <v>247297</v>
      </c>
      <c r="D9097">
        <v>169</v>
      </c>
    </row>
    <row r="9098" spans="1:4" x14ac:dyDescent="0.25">
      <c r="A9098" t="str">
        <f>T("   821599")</f>
        <v xml:space="preserve">   821599</v>
      </c>
      <c r="B9098" t="s">
        <v>380</v>
      </c>
      <c r="C9098">
        <v>1213526</v>
      </c>
      <c r="D9098">
        <v>2375</v>
      </c>
    </row>
    <row r="9099" spans="1:4" x14ac:dyDescent="0.25">
      <c r="A9099" t="str">
        <f>T("   830210")</f>
        <v xml:space="preserve">   830210</v>
      </c>
      <c r="B9099" t="str">
        <f>T("   Charnières de tous genres, y.c. les paumelles et pentures, en métaux communs")</f>
        <v xml:space="preserve">   Charnières de tous genres, y.c. les paumelles et pentures, en métaux communs</v>
      </c>
      <c r="C9099">
        <v>4087203</v>
      </c>
      <c r="D9099">
        <v>1085</v>
      </c>
    </row>
    <row r="9100" spans="1:4" x14ac:dyDescent="0.25">
      <c r="A9100" t="str">
        <f>T("   830300")</f>
        <v xml:space="preserve">   830300</v>
      </c>
      <c r="B9100" t="str">
        <f>T("   Coffres-forts, portes blindées et compartiments pour chambres fortes, coffres et cassettes de sûreté et articles simil., en métaux communs")</f>
        <v xml:space="preserve">   Coffres-forts, portes blindées et compartiments pour chambres fortes, coffres et cassettes de sûreté et articles simil., en métaux communs</v>
      </c>
      <c r="C9100">
        <v>24293460</v>
      </c>
      <c r="D9100">
        <v>23792</v>
      </c>
    </row>
    <row r="9101" spans="1:4" x14ac:dyDescent="0.25">
      <c r="A9101" t="str">
        <f>T("   840734")</f>
        <v xml:space="preserve">   840734</v>
      </c>
      <c r="B9101" t="s">
        <v>390</v>
      </c>
      <c r="C9101">
        <v>1185320</v>
      </c>
      <c r="D9101">
        <v>103</v>
      </c>
    </row>
    <row r="9102" spans="1:4" x14ac:dyDescent="0.25">
      <c r="A9102" t="str">
        <f>T("   840820")</f>
        <v xml:space="preserve">   840820</v>
      </c>
      <c r="B9102" t="s">
        <v>392</v>
      </c>
      <c r="C9102">
        <v>100000</v>
      </c>
      <c r="D9102">
        <v>100</v>
      </c>
    </row>
    <row r="9103" spans="1:4" x14ac:dyDescent="0.25">
      <c r="A9103" t="str">
        <f>T("   840999")</f>
        <v xml:space="preserve">   840999</v>
      </c>
      <c r="B9103"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9103">
        <v>9010640</v>
      </c>
      <c r="D9103">
        <v>920.4</v>
      </c>
    </row>
    <row r="9104" spans="1:4" x14ac:dyDescent="0.25">
      <c r="A9104" t="str">
        <f>T("   841229")</f>
        <v xml:space="preserve">   841229</v>
      </c>
      <c r="B9104" t="str">
        <f>T("   Moteurs hydrauliques (autres que turbines hydrauliques ou roues hydrauliques du n° 8410, turbines à vapeur et moteurs hydrauliques, à mouvement rectiligne -cylindres-)")</f>
        <v xml:space="preserve">   Moteurs hydrauliques (autres que turbines hydrauliques ou roues hydrauliques du n° 8410, turbines à vapeur et moteurs hydrauliques, à mouvement rectiligne -cylindres-)</v>
      </c>
      <c r="C9104">
        <v>6026587</v>
      </c>
      <c r="D9104">
        <v>327</v>
      </c>
    </row>
    <row r="9105" spans="1:4" x14ac:dyDescent="0.25">
      <c r="A9105" t="str">
        <f>T("   841381")</f>
        <v xml:space="preserve">   841381</v>
      </c>
      <c r="B9105" t="s">
        <v>397</v>
      </c>
      <c r="C9105">
        <v>3005599</v>
      </c>
      <c r="D9105">
        <v>2608</v>
      </c>
    </row>
    <row r="9106" spans="1:4" x14ac:dyDescent="0.25">
      <c r="A9106" t="str">
        <f>T("   841391")</f>
        <v xml:space="preserve">   841391</v>
      </c>
      <c r="B9106" t="str">
        <f>T("   Parties de pompes pour liquides, n.d.a.")</f>
        <v xml:space="preserve">   Parties de pompes pour liquides, n.d.a.</v>
      </c>
      <c r="C9106">
        <v>2484776</v>
      </c>
      <c r="D9106">
        <v>93.2</v>
      </c>
    </row>
    <row r="9107" spans="1:4" x14ac:dyDescent="0.25">
      <c r="A9107" t="str">
        <f>T("   841420")</f>
        <v xml:space="preserve">   841420</v>
      </c>
      <c r="B9107" t="str">
        <f>T("   Pompes à air, à main ou à pied")</f>
        <v xml:space="preserve">   Pompes à air, à main ou à pied</v>
      </c>
      <c r="C9107">
        <v>209251</v>
      </c>
      <c r="D9107">
        <v>24</v>
      </c>
    </row>
    <row r="9108" spans="1:4" x14ac:dyDescent="0.25">
      <c r="A9108" t="str">
        <f>T("   841440")</f>
        <v xml:space="preserve">   841440</v>
      </c>
      <c r="B9108" t="str">
        <f>T("   Compresseurs d'air montés sur châssis à roues et remorquables")</f>
        <v xml:space="preserve">   Compresseurs d'air montés sur châssis à roues et remorquables</v>
      </c>
      <c r="C9108">
        <v>4852792</v>
      </c>
      <c r="D9108">
        <v>191</v>
      </c>
    </row>
    <row r="9109" spans="1:4" x14ac:dyDescent="0.25">
      <c r="A9109" t="str">
        <f>T("   841451")</f>
        <v xml:space="preserve">   841451</v>
      </c>
      <c r="B9109" t="str">
        <f>T("   Ventilateurs de table, de sol, muraux, plafonniers, de toitures ou de fenêtres, à moteur électrique incorporé, d'une puissance &lt;= 125 W")</f>
        <v xml:space="preserve">   Ventilateurs de table, de sol, muraux, plafonniers, de toitures ou de fenêtres, à moteur électrique incorporé, d'une puissance &lt;= 125 W</v>
      </c>
      <c r="C9109">
        <v>90000</v>
      </c>
      <c r="D9109">
        <v>85</v>
      </c>
    </row>
    <row r="9110" spans="1:4" x14ac:dyDescent="0.25">
      <c r="A9110" t="str">
        <f>T("   841480")</f>
        <v xml:space="preserve">   841480</v>
      </c>
      <c r="B9110" t="s">
        <v>398</v>
      </c>
      <c r="C9110">
        <v>1753381</v>
      </c>
      <c r="D9110">
        <v>24</v>
      </c>
    </row>
    <row r="9111" spans="1:4" x14ac:dyDescent="0.25">
      <c r="A9111" t="str">
        <f>T("   841810")</f>
        <v xml:space="preserve">   841810</v>
      </c>
      <c r="B9111" t="str">
        <f>T("   Réfrigérateurs et congélateurs-conservateurs combinés, avec portes extérieures séparées")</f>
        <v xml:space="preserve">   Réfrigérateurs et congélateurs-conservateurs combinés, avec portes extérieures séparées</v>
      </c>
      <c r="C9111">
        <v>1021844</v>
      </c>
      <c r="D9111">
        <v>1736</v>
      </c>
    </row>
    <row r="9112" spans="1:4" x14ac:dyDescent="0.25">
      <c r="A9112" t="str">
        <f>T("   841829")</f>
        <v xml:space="preserve">   841829</v>
      </c>
      <c r="B9112" t="str">
        <f>T("   Réfrigérateurs ménagers à absorption, non-électriques")</f>
        <v xml:space="preserve">   Réfrigérateurs ménagers à absorption, non-électriques</v>
      </c>
      <c r="C9112">
        <v>560190</v>
      </c>
      <c r="D9112">
        <v>697</v>
      </c>
    </row>
    <row r="9113" spans="1:4" x14ac:dyDescent="0.25">
      <c r="A9113" t="str">
        <f>T("   841850")</f>
        <v xml:space="preserve">   841850</v>
      </c>
      <c r="B9113" t="s">
        <v>404</v>
      </c>
      <c r="C9113">
        <v>463764</v>
      </c>
      <c r="D9113">
        <v>232</v>
      </c>
    </row>
    <row r="9114" spans="1:4" x14ac:dyDescent="0.25">
      <c r="A9114" t="str">
        <f>T("   841891")</f>
        <v xml:space="preserve">   841891</v>
      </c>
      <c r="B9114" t="str">
        <f>T("   Meubles conçus pour recevoir un équipement pour la production du froid")</f>
        <v xml:space="preserve">   Meubles conçus pour recevoir un équipement pour la production du froid</v>
      </c>
      <c r="C9114">
        <v>66604866</v>
      </c>
      <c r="D9114">
        <v>47423</v>
      </c>
    </row>
    <row r="9115" spans="1:4" x14ac:dyDescent="0.25">
      <c r="A9115" t="str">
        <f>T("   842129")</f>
        <v xml:space="preserve">   842129</v>
      </c>
      <c r="B9115" t="str">
        <f>T("   Appareils pour la filtration ou l'épuration des liquides (à l'excl. de l'eau ou des boissons, des huiles minérales et carburants pour les moteurs à allumage par étincelles ou par compression ainsi que les reins artificiels)")</f>
        <v xml:space="preserve">   Appareils pour la filtration ou l'épuration des liquides (à l'excl. de l'eau ou des boissons, des huiles minérales et carburants pour les moteurs à allumage par étincelles ou par compression ainsi que les reins artificiels)</v>
      </c>
      <c r="C9115">
        <v>550350</v>
      </c>
      <c r="D9115">
        <v>30</v>
      </c>
    </row>
    <row r="9116" spans="1:4" x14ac:dyDescent="0.25">
      <c r="A9116" t="str">
        <f>T("   842139")</f>
        <v xml:space="preserve">   842139</v>
      </c>
      <c r="B9116" t="str">
        <f>T("   Appareils pour la filtration ou l'épuration des gaz (autres que pour la séparation isotopique et sauf les filtres d'entrée d'air pour moteurs à allumage par étincelles ou par compression)")</f>
        <v xml:space="preserve">   Appareils pour la filtration ou l'épuration des gaz (autres que pour la séparation isotopique et sauf les filtres d'entrée d'air pour moteurs à allumage par étincelles ou par compression)</v>
      </c>
      <c r="C9116">
        <v>102330</v>
      </c>
      <c r="D9116">
        <v>1</v>
      </c>
    </row>
    <row r="9117" spans="1:4" x14ac:dyDescent="0.25">
      <c r="A9117" t="str">
        <f>T("   842199")</f>
        <v xml:space="preserve">   842199</v>
      </c>
      <c r="B9117" t="str">
        <f>T("   Parties d'appareils pour la filtration ou l'épuration des liquides ou des gaz, n.d.a.")</f>
        <v xml:space="preserve">   Parties d'appareils pour la filtration ou l'épuration des liquides ou des gaz, n.d.a.</v>
      </c>
      <c r="C9117">
        <v>4743247</v>
      </c>
      <c r="D9117">
        <v>3</v>
      </c>
    </row>
    <row r="9118" spans="1:4" x14ac:dyDescent="0.25">
      <c r="A9118" t="str">
        <f>T("   842290")</f>
        <v xml:space="preserve">   842290</v>
      </c>
      <c r="B9118" t="str">
        <f>T("   Parties des machines à laver la vaisselle, des machines à empaqueter ou à emballer les marchandises et autres machines et appareils du n° 8422, n.d.a.")</f>
        <v xml:space="preserve">   Parties des machines à laver la vaisselle, des machines à empaqueter ou à emballer les marchandises et autres machines et appareils du n° 8422, n.d.a.</v>
      </c>
      <c r="C9118">
        <v>2642627</v>
      </c>
      <c r="D9118">
        <v>41</v>
      </c>
    </row>
    <row r="9119" spans="1:4" x14ac:dyDescent="0.25">
      <c r="A9119" t="str">
        <f>T("   842549")</f>
        <v xml:space="preserve">   842549</v>
      </c>
      <c r="B9119" t="str">
        <f>T("   Crics et vérins, non hydrauliques")</f>
        <v xml:space="preserve">   Crics et vérins, non hydrauliques</v>
      </c>
      <c r="C9119">
        <v>2782582</v>
      </c>
      <c r="D9119">
        <v>98</v>
      </c>
    </row>
    <row r="9120" spans="1:4" x14ac:dyDescent="0.25">
      <c r="A9120" t="str">
        <f>T("   842619")</f>
        <v xml:space="preserve">   842619</v>
      </c>
      <c r="B9120" t="str">
        <f>T("   Ponts roulants, grues portiques, portiques de déchargement et ponts-grues (à l'excl. des ponts roulants et poutres roulantes sur supports fixes, portiques mobiles sur pneumatiques, chariots-cavaliers et grues sur portiques)")</f>
        <v xml:space="preserve">   Ponts roulants, grues portiques, portiques de déchargement et ponts-grues (à l'excl. des ponts roulants et poutres roulantes sur supports fixes, portiques mobiles sur pneumatiques, chariots-cavaliers et grues sur portiques)</v>
      </c>
      <c r="C9120">
        <v>5436596</v>
      </c>
      <c r="D9120">
        <v>1660</v>
      </c>
    </row>
    <row r="9121" spans="1:4" x14ac:dyDescent="0.25">
      <c r="A9121" t="str">
        <f>T("   843061")</f>
        <v xml:space="preserve">   843061</v>
      </c>
      <c r="B9121" t="str">
        <f>T("   Machines et appareils à tasser ou à compacter, non autopropulsés (sauf outillage pour emploi à la main)")</f>
        <v xml:space="preserve">   Machines et appareils à tasser ou à compacter, non autopropulsés (sauf outillage pour emploi à la main)</v>
      </c>
      <c r="C9121">
        <v>2322743</v>
      </c>
      <c r="D9121">
        <v>1525</v>
      </c>
    </row>
    <row r="9122" spans="1:4" x14ac:dyDescent="0.25">
      <c r="A9122" t="str">
        <f>T("   843120")</f>
        <v xml:space="preserve">   843120</v>
      </c>
      <c r="B9122" t="str">
        <f>T("   Parties de chariots-gerbeurs et autres chariots de manutention munis d'un dispositif de levage, n.d.a.")</f>
        <v xml:space="preserve">   Parties de chariots-gerbeurs et autres chariots de manutention munis d'un dispositif de levage, n.d.a.</v>
      </c>
      <c r="C9122">
        <v>83459801</v>
      </c>
      <c r="D9122">
        <v>18011.2</v>
      </c>
    </row>
    <row r="9123" spans="1:4" x14ac:dyDescent="0.25">
      <c r="A9123" t="str">
        <f>T("   843139")</f>
        <v xml:space="preserve">   843139</v>
      </c>
      <c r="B9123" t="str">
        <f>T("   Parties de machines et appareils du n° 8428, n.d.a.")</f>
        <v xml:space="preserve">   Parties de machines et appareils du n° 8428, n.d.a.</v>
      </c>
      <c r="C9123">
        <v>64233</v>
      </c>
      <c r="D9123">
        <v>160</v>
      </c>
    </row>
    <row r="9124" spans="1:4" x14ac:dyDescent="0.25">
      <c r="A9124" t="str">
        <f>T("   843141")</f>
        <v xml:space="preserve">   843141</v>
      </c>
      <c r="B9124" t="str">
        <f>T("   Godets, bennes, bennes-preneuses, pelles, grappins et pinces pour machines et appareils du n° 8426, 8429 ou 8430")</f>
        <v xml:space="preserve">   Godets, bennes, bennes-preneuses, pelles, grappins et pinces pour machines et appareils du n° 8426, 8429 ou 8430</v>
      </c>
      <c r="C9124">
        <v>53639030</v>
      </c>
      <c r="D9124">
        <v>8900</v>
      </c>
    </row>
    <row r="9125" spans="1:4" x14ac:dyDescent="0.25">
      <c r="A9125" t="str">
        <f>T("   843149")</f>
        <v xml:space="preserve">   843149</v>
      </c>
      <c r="B9125" t="str">
        <f>T("   Parties de machines et appareils du n° 8426, 8429 ou 8430, n.d.a.")</f>
        <v xml:space="preserve">   Parties de machines et appareils du n° 8426, 8429 ou 8430, n.d.a.</v>
      </c>
      <c r="C9125">
        <v>14946048</v>
      </c>
      <c r="D9125">
        <v>223</v>
      </c>
    </row>
    <row r="9126" spans="1:4" x14ac:dyDescent="0.25">
      <c r="A9126" t="str">
        <f>T("   843319")</f>
        <v xml:space="preserve">   843319</v>
      </c>
      <c r="B9126" t="str">
        <f>T("   Tondeuses à gazon à moteur, dont le dispositif de coupe tourne dans un plan vertical, ou à barre de coupe")</f>
        <v xml:space="preserve">   Tondeuses à gazon à moteur, dont le dispositif de coupe tourne dans un plan vertical, ou à barre de coupe</v>
      </c>
      <c r="C9126">
        <v>2232234</v>
      </c>
      <c r="D9126">
        <v>1665</v>
      </c>
    </row>
    <row r="9127" spans="1:4" x14ac:dyDescent="0.25">
      <c r="A9127" t="str">
        <f>T("   844319")</f>
        <v xml:space="preserve">   844319</v>
      </c>
      <c r="B9127" t="s">
        <v>423</v>
      </c>
      <c r="C9127">
        <v>537150</v>
      </c>
      <c r="D9127">
        <v>1500</v>
      </c>
    </row>
    <row r="9128" spans="1:4" x14ac:dyDescent="0.25">
      <c r="A9128" t="str">
        <f>T("   844390")</f>
        <v xml:space="preserve">   844390</v>
      </c>
      <c r="B9128" t="str">
        <f>T("   Parties de machines et appareils à imprimer et de leur machines et appareils auxiliaires, n.d.a.")</f>
        <v xml:space="preserve">   Parties de machines et appareils à imprimer et de leur machines et appareils auxiliaires, n.d.a.</v>
      </c>
      <c r="C9128">
        <v>269371</v>
      </c>
      <c r="D9128">
        <v>1</v>
      </c>
    </row>
    <row r="9129" spans="1:4" x14ac:dyDescent="0.25">
      <c r="A9129" t="str">
        <f>T("   845229")</f>
        <v xml:space="preserve">   845229</v>
      </c>
      <c r="B9129" t="str">
        <f>T("   Machines à coudre de type industriel (sauf unités automatiques)")</f>
        <v xml:space="preserve">   Machines à coudre de type industriel (sauf unités automatiques)</v>
      </c>
      <c r="C9129">
        <v>397000</v>
      </c>
      <c r="D9129">
        <v>3000</v>
      </c>
    </row>
    <row r="9130" spans="1:4" x14ac:dyDescent="0.25">
      <c r="A9130" t="str">
        <f>T("   846792")</f>
        <v xml:space="preserve">   846792</v>
      </c>
      <c r="B9130" t="str">
        <f>T("   Parties d'outils pneumatiques pour emploi à la main, n.d.a.")</f>
        <v xml:space="preserve">   Parties d'outils pneumatiques pour emploi à la main, n.d.a.</v>
      </c>
      <c r="C9130">
        <v>581932</v>
      </c>
      <c r="D9130">
        <v>333</v>
      </c>
    </row>
    <row r="9131" spans="1:4" x14ac:dyDescent="0.25">
      <c r="A9131" t="str">
        <f>T("   847141")</f>
        <v xml:space="preserve">   847141</v>
      </c>
      <c r="B9131" t="s">
        <v>436</v>
      </c>
      <c r="C9131">
        <v>530016</v>
      </c>
      <c r="D9131">
        <v>350</v>
      </c>
    </row>
    <row r="9132" spans="1:4" x14ac:dyDescent="0.25">
      <c r="A9132" t="str">
        <f>T("   847149")</f>
        <v xml:space="preserve">   847149</v>
      </c>
      <c r="B9132" t="s">
        <v>437</v>
      </c>
      <c r="C9132">
        <v>1770074</v>
      </c>
      <c r="D9132">
        <v>2903</v>
      </c>
    </row>
    <row r="9133" spans="1:4" x14ac:dyDescent="0.25">
      <c r="A9133" t="str">
        <f>T("   847150")</f>
        <v xml:space="preserve">   847150</v>
      </c>
      <c r="B9133" t="s">
        <v>438</v>
      </c>
      <c r="C9133">
        <v>27173877</v>
      </c>
      <c r="D9133">
        <v>191</v>
      </c>
    </row>
    <row r="9134" spans="1:4" x14ac:dyDescent="0.25">
      <c r="A9134" t="str">
        <f>T("   847160")</f>
        <v xml:space="preserve">   847160</v>
      </c>
      <c r="B9134" t="str">
        <f>T("   UNITÉS D'ENTRÉE OU DE SORTIE POUR MACHINES AUTOMATIQUES DE TRAITEMENT DE L'INFORMATION, POUVANT COMPORTER, SOUS LA MÊME ENVELOPPE, DES UNITÉS DE MÉMOIRE")</f>
        <v xml:space="preserve">   UNITÉS D'ENTRÉE OU DE SORTIE POUR MACHINES AUTOMATIQUES DE TRAITEMENT DE L'INFORMATION, POUVANT COMPORTER, SOUS LA MÊME ENVELOPPE, DES UNITÉS DE MÉMOIRE</v>
      </c>
      <c r="C9134">
        <v>39587842</v>
      </c>
      <c r="D9134">
        <v>4247</v>
      </c>
    </row>
    <row r="9135" spans="1:4" x14ac:dyDescent="0.25">
      <c r="A9135" t="str">
        <f>T("   847180")</f>
        <v xml:space="preserve">   847180</v>
      </c>
      <c r="B9135"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9135">
        <v>40690013</v>
      </c>
      <c r="D9135">
        <v>6926</v>
      </c>
    </row>
    <row r="9136" spans="1:4" x14ac:dyDescent="0.25">
      <c r="A9136" t="str">
        <f>T("   847190")</f>
        <v xml:space="preserve">   847190</v>
      </c>
      <c r="B9136"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9136">
        <v>14225339</v>
      </c>
      <c r="D9136">
        <v>191.8</v>
      </c>
    </row>
    <row r="9137" spans="1:4" x14ac:dyDescent="0.25">
      <c r="A9137" t="str">
        <f>T("   847330")</f>
        <v xml:space="preserve">   847330</v>
      </c>
      <c r="B9137" t="str">
        <f>T("   Parties et accessoires pour machines automatiques de traitement de l'information ou pour autres machines du n° 8471, n.d.a.")</f>
        <v xml:space="preserve">   Parties et accessoires pour machines automatiques de traitement de l'information ou pour autres machines du n° 8471, n.d.a.</v>
      </c>
      <c r="C9137">
        <v>48695497</v>
      </c>
      <c r="D9137">
        <v>1179</v>
      </c>
    </row>
    <row r="9138" spans="1:4" x14ac:dyDescent="0.25">
      <c r="A9138" t="str">
        <f>T("   847490")</f>
        <v xml:space="preserve">   847490</v>
      </c>
      <c r="B9138" t="str">
        <f>T("   Parties des machines et appareils pour le travail des matières minérales du n° 8474, n.d.a.")</f>
        <v xml:space="preserve">   Parties des machines et appareils pour le travail des matières minérales du n° 8474, n.d.a.</v>
      </c>
      <c r="C9138">
        <v>435767</v>
      </c>
      <c r="D9138">
        <v>59</v>
      </c>
    </row>
    <row r="9139" spans="1:4" x14ac:dyDescent="0.25">
      <c r="A9139" t="str">
        <f>T("   847989")</f>
        <v xml:space="preserve">   847989</v>
      </c>
      <c r="B9139" t="str">
        <f>T("   Machines et appareils, y.c. les appareils mécaniques, n.d.a.")</f>
        <v xml:space="preserve">   Machines et appareils, y.c. les appareils mécaniques, n.d.a.</v>
      </c>
      <c r="C9139">
        <v>2000000</v>
      </c>
      <c r="D9139">
        <v>200</v>
      </c>
    </row>
    <row r="9140" spans="1:4" x14ac:dyDescent="0.25">
      <c r="A9140" t="str">
        <f>T("   848390")</f>
        <v xml:space="preserve">   848390</v>
      </c>
      <c r="B9140" t="str">
        <f>T("   Roues dentées et autres organes élémentaires de transmission présentés séparément; parties d'organes mécaniques, d'organes de transmission, d'engrenages, de variateurs de vitesses, d'organes d'accouplement et d'autres organes du n° 8483, n.d.a.")</f>
        <v xml:space="preserve">   Roues dentées et autres organes élémentaires de transmission présentés séparément; parties d'organes mécaniques, d'organes de transmission, d'engrenages, de variateurs de vitesses, d'organes d'accouplement et d'autres organes du n° 8483, n.d.a.</v>
      </c>
      <c r="C9140">
        <v>34831</v>
      </c>
      <c r="D9140">
        <v>36.5</v>
      </c>
    </row>
    <row r="9141" spans="1:4" x14ac:dyDescent="0.25">
      <c r="A9141" t="str">
        <f>T("   848490")</f>
        <v xml:space="preserve">   848490</v>
      </c>
      <c r="B9141" t="str">
        <f>T("   Jeux ou assortiments de joints de composition différente présentés en pochettes, enveloppes ou emballages analogues")</f>
        <v xml:space="preserve">   Jeux ou assortiments de joints de composition différente présentés en pochettes, enveloppes ou emballages analogues</v>
      </c>
      <c r="C9141">
        <v>62316</v>
      </c>
      <c r="D9141">
        <v>1</v>
      </c>
    </row>
    <row r="9142" spans="1:4" x14ac:dyDescent="0.25">
      <c r="A9142" t="str">
        <f>T("   850211")</f>
        <v xml:space="preserve">   850211</v>
      </c>
      <c r="B9142" t="s">
        <v>449</v>
      </c>
      <c r="C9142">
        <v>18558423</v>
      </c>
      <c r="D9142">
        <v>10563</v>
      </c>
    </row>
    <row r="9143" spans="1:4" x14ac:dyDescent="0.25">
      <c r="A9143" t="str">
        <f>T("   850212")</f>
        <v xml:space="preserve">   850212</v>
      </c>
      <c r="B9143"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9143">
        <v>8158188</v>
      </c>
      <c r="D9143">
        <v>26000</v>
      </c>
    </row>
    <row r="9144" spans="1:4" x14ac:dyDescent="0.25">
      <c r="A9144" t="str">
        <f>T("   850213")</f>
        <v xml:space="preserve">   850213</v>
      </c>
      <c r="B9144" t="s">
        <v>450</v>
      </c>
      <c r="C9144">
        <v>1381396957</v>
      </c>
      <c r="D9144">
        <v>441216</v>
      </c>
    </row>
    <row r="9145" spans="1:4" x14ac:dyDescent="0.25">
      <c r="A9145" t="str">
        <f>T("   850239")</f>
        <v xml:space="preserve">   850239</v>
      </c>
      <c r="B9145" t="str">
        <f>T("   Groupes électrogènes (autres qu'à énergie éolienne et à moteurs à piston)")</f>
        <v xml:space="preserve">   Groupes électrogènes (autres qu'à énergie éolienne et à moteurs à piston)</v>
      </c>
      <c r="C9145">
        <v>600000</v>
      </c>
      <c r="D9145">
        <v>640</v>
      </c>
    </row>
    <row r="9146" spans="1:4" x14ac:dyDescent="0.25">
      <c r="A9146" t="str">
        <f>T("   850300")</f>
        <v xml:space="preserve">   850300</v>
      </c>
      <c r="B9146" t="str">
        <f>T("   Parties reconnaissables comme étant exclusivement ou principalement destinées aux moteurs et machines génératrices électriques, groupes électrogènes ou convertisseurs rotatifs électriques n.d.a.")</f>
        <v xml:space="preserve">   Parties reconnaissables comme étant exclusivement ou principalement destinées aux moteurs et machines génératrices électriques, groupes électrogènes ou convertisseurs rotatifs électriques n.d.a.</v>
      </c>
      <c r="C9146">
        <v>510878829</v>
      </c>
      <c r="D9146">
        <v>133151</v>
      </c>
    </row>
    <row r="9147" spans="1:4" x14ac:dyDescent="0.25">
      <c r="A9147" t="str">
        <f>T("   850422")</f>
        <v xml:space="preserve">   850422</v>
      </c>
      <c r="B9147" t="str">
        <f>T("   Transformateurs à diélectrique liquide, puissance &gt; 650 kVA mais &lt;= 10.000 kVA")</f>
        <v xml:space="preserve">   Transformateurs à diélectrique liquide, puissance &gt; 650 kVA mais &lt;= 10.000 kVA</v>
      </c>
      <c r="C9147">
        <v>493493904</v>
      </c>
      <c r="D9147">
        <v>151600</v>
      </c>
    </row>
    <row r="9148" spans="1:4" x14ac:dyDescent="0.25">
      <c r="A9148" t="str">
        <f>T("   850423")</f>
        <v xml:space="preserve">   850423</v>
      </c>
      <c r="B9148" t="str">
        <f>T("   Transformateurs à diélectrique liquide, puissance &gt; 10.000 kVA")</f>
        <v xml:space="preserve">   Transformateurs à diélectrique liquide, puissance &gt; 10.000 kVA</v>
      </c>
      <c r="C9148">
        <v>1200000</v>
      </c>
      <c r="D9148">
        <v>4261</v>
      </c>
    </row>
    <row r="9149" spans="1:4" x14ac:dyDescent="0.25">
      <c r="A9149" t="str">
        <f>T("   850440")</f>
        <v xml:space="preserve">   850440</v>
      </c>
      <c r="B9149" t="str">
        <f>T("   CONVERTISSEURS STATIQUES")</f>
        <v xml:space="preserve">   CONVERTISSEURS STATIQUES</v>
      </c>
      <c r="C9149">
        <v>4993475</v>
      </c>
      <c r="D9149">
        <v>334</v>
      </c>
    </row>
    <row r="9150" spans="1:4" x14ac:dyDescent="0.25">
      <c r="A9150" t="str">
        <f>T("   851140")</f>
        <v xml:space="preserve">   851140</v>
      </c>
      <c r="B9150" t="str">
        <f>T("   Démarreurs, même fonctionnant comme génératrices, pour moteurs à allumage par étincelles ou par compression")</f>
        <v xml:space="preserve">   Démarreurs, même fonctionnant comme génératrices, pour moteurs à allumage par étincelles ou par compression</v>
      </c>
      <c r="C9150">
        <v>4931599</v>
      </c>
      <c r="D9150">
        <v>39.5</v>
      </c>
    </row>
    <row r="9151" spans="1:4" x14ac:dyDescent="0.25">
      <c r="A9151" t="str">
        <f>T("   851150")</f>
        <v xml:space="preserve">   851150</v>
      </c>
      <c r="B9151" t="str">
        <f>T("   Génératrices pour moteurs à allumage par étincelles ou par compression (autres que dynamos-magnétos et démarreurs fonctionnant comme génératrices)")</f>
        <v xml:space="preserve">   Génératrices pour moteurs à allumage par étincelles ou par compression (autres que dynamos-magnétos et démarreurs fonctionnant comme génératrices)</v>
      </c>
      <c r="C9151">
        <v>353562</v>
      </c>
      <c r="D9151">
        <v>5</v>
      </c>
    </row>
    <row r="9152" spans="1:4" x14ac:dyDescent="0.25">
      <c r="A9152" t="str">
        <f>T("   851220")</f>
        <v xml:space="preserve">   851220</v>
      </c>
      <c r="B9152" t="str">
        <f>T("   Appareils électriques d'éclairage ou de signalisation visuelle, pour automobiles (à l'excl. des lampes du n° 8539)")</f>
        <v xml:space="preserve">   Appareils électriques d'éclairage ou de signalisation visuelle, pour automobiles (à l'excl. des lampes du n° 8539)</v>
      </c>
      <c r="C9152">
        <v>296494</v>
      </c>
      <c r="D9152">
        <v>12</v>
      </c>
    </row>
    <row r="9153" spans="1:4" x14ac:dyDescent="0.25">
      <c r="A9153" t="str">
        <f>T("   851310")</f>
        <v xml:space="preserve">   851310</v>
      </c>
      <c r="B9153" t="str">
        <f>T("   Lampes électriques portatives, destinées à fonctionner au moyen de leur propre source d'énergie")</f>
        <v xml:space="preserve">   Lampes électriques portatives, destinées à fonctionner au moyen de leur propre source d'énergie</v>
      </c>
      <c r="C9153">
        <v>60348</v>
      </c>
      <c r="D9153">
        <v>12</v>
      </c>
    </row>
    <row r="9154" spans="1:4" x14ac:dyDescent="0.25">
      <c r="A9154" t="str">
        <f>T("   851629")</f>
        <v xml:space="preserve">   851629</v>
      </c>
      <c r="B9154" t="str">
        <f>T("   Appareils électriques pour le chauffage des locaux, du sol ou pour usages simil. (sauf radiateurs à accumulation)")</f>
        <v xml:space="preserve">   Appareils électriques pour le chauffage des locaux, du sol ou pour usages simil. (sauf radiateurs à accumulation)</v>
      </c>
      <c r="C9154">
        <v>1002963</v>
      </c>
      <c r="D9154">
        <v>1800</v>
      </c>
    </row>
    <row r="9155" spans="1:4" x14ac:dyDescent="0.25">
      <c r="A9155" t="str">
        <f>T("   851650")</f>
        <v xml:space="preserve">   851650</v>
      </c>
      <c r="B9155" t="str">
        <f>T("   Fours à micro-ondes")</f>
        <v xml:space="preserve">   Fours à micro-ondes</v>
      </c>
      <c r="C9155">
        <v>150000</v>
      </c>
      <c r="D9155">
        <v>110</v>
      </c>
    </row>
    <row r="9156" spans="1:4" x14ac:dyDescent="0.25">
      <c r="A9156" t="str">
        <f>T("   851750")</f>
        <v xml:space="preserve">   851750</v>
      </c>
      <c r="B9156" t="s">
        <v>457</v>
      </c>
      <c r="C9156">
        <v>158186</v>
      </c>
      <c r="D9156">
        <v>6</v>
      </c>
    </row>
    <row r="9157" spans="1:4" x14ac:dyDescent="0.25">
      <c r="A9157" t="str">
        <f>T("   851780")</f>
        <v xml:space="preserve">   851780</v>
      </c>
      <c r="B9157" t="s">
        <v>458</v>
      </c>
      <c r="C9157">
        <v>435534214</v>
      </c>
      <c r="D9157">
        <v>40840.339999999997</v>
      </c>
    </row>
    <row r="9158" spans="1:4" x14ac:dyDescent="0.25">
      <c r="A9158" t="str">
        <f>T("   851829")</f>
        <v xml:space="preserve">   851829</v>
      </c>
      <c r="B9158" t="str">
        <f>T("   Haut-parleurs sans enceinte")</f>
        <v xml:space="preserve">   Haut-parleurs sans enceinte</v>
      </c>
      <c r="C9158">
        <v>150362</v>
      </c>
      <c r="D9158">
        <v>180</v>
      </c>
    </row>
    <row r="9159" spans="1:4" x14ac:dyDescent="0.25">
      <c r="A9159" t="str">
        <f>T("   851999")</f>
        <v xml:space="preserve">   851999</v>
      </c>
      <c r="B9159" t="str">
        <f>T("   Appareils de reproduction du son, n'incorporant pas de dispositif d'enregistrement du son (autres que tourne-disques, électrophones commandés par l'introduction d'une pièce de monnaie ou d'un jeton, machines à dicter et lecteurs de cassettes)")</f>
        <v xml:space="preserve">   Appareils de reproduction du son, n'incorporant pas de dispositif d'enregistrement du son (autres que tourne-disques, électrophones commandés par l'introduction d'une pièce de monnaie ou d'un jeton, machines à dicter et lecteurs de cassettes)</v>
      </c>
      <c r="C9159">
        <v>75000</v>
      </c>
      <c r="D9159">
        <v>70</v>
      </c>
    </row>
    <row r="9160" spans="1:4" x14ac:dyDescent="0.25">
      <c r="A9160" t="str">
        <f>T("   852190")</f>
        <v xml:space="preserve">   852190</v>
      </c>
      <c r="B9160" t="s">
        <v>462</v>
      </c>
      <c r="C9160">
        <v>234834</v>
      </c>
      <c r="D9160">
        <v>350</v>
      </c>
    </row>
    <row r="9161" spans="1:4" x14ac:dyDescent="0.25">
      <c r="A9161" t="str">
        <f>T("   852312")</f>
        <v xml:space="preserve">   852312</v>
      </c>
      <c r="B9161" t="str">
        <f>T("   Bandes magnétiques non enregistrées, largeur &gt; 4 mm mais &lt;= 6,5 mm")</f>
        <v xml:space="preserve">   Bandes magnétiques non enregistrées, largeur &gt; 4 mm mais &lt;= 6,5 mm</v>
      </c>
      <c r="C9161">
        <v>143327</v>
      </c>
      <c r="D9161">
        <v>73</v>
      </c>
    </row>
    <row r="9162" spans="1:4" x14ac:dyDescent="0.25">
      <c r="A9162" t="str">
        <f>T("   852390")</f>
        <v xml:space="preserve">   852390</v>
      </c>
      <c r="B9162" t="str">
        <f>T("   SUPPORTS PRÉPARÉS POUR L'ENREGISTREMENT DU SON OU POUR ENREGISTREMENTS ANALOGUES, NON-ENREGISTRÉS (AUTRES QUE BANDES ET DISQUES MAGNÉTIQUES, CARTES MUNIES D'UNE PISTE MAGNÉTIQUE ET PRODUITS DU CHAPITRE 37)")</f>
        <v xml:space="preserve">   SUPPORTS PRÉPARÉS POUR L'ENREGISTREMENT DU SON OU POUR ENREGISTREMENTS ANALOGUES, NON-ENREGISTRÉS (AUTRES QUE BANDES ET DISQUES MAGNÉTIQUES, CARTES MUNIES D'UNE PISTE MAGNÉTIQUE ET PRODUITS DU CHAPITRE 37)</v>
      </c>
      <c r="C9162">
        <v>19679</v>
      </c>
      <c r="D9162">
        <v>226</v>
      </c>
    </row>
    <row r="9163" spans="1:4" x14ac:dyDescent="0.25">
      <c r="A9163" t="str">
        <f>T("   852520")</f>
        <v xml:space="preserve">   852520</v>
      </c>
      <c r="B9163" t="str">
        <f>T("   Appareils d'émission incorporant un appareil de réception, pour la radiotéléphonie, la radiotélégraphie, la radiodiffusion ou la télévision")</f>
        <v xml:space="preserve">   Appareils d'émission incorporant un appareil de réception, pour la radiotéléphonie, la radiotélégraphie, la radiodiffusion ou la télévision</v>
      </c>
      <c r="C9163">
        <v>174824</v>
      </c>
      <c r="D9163">
        <v>10</v>
      </c>
    </row>
    <row r="9164" spans="1:4" x14ac:dyDescent="0.25">
      <c r="A9164" t="str">
        <f>T("   852691")</f>
        <v xml:space="preserve">   852691</v>
      </c>
      <c r="B9164" t="str">
        <f>T("   Appareils de radionavigation")</f>
        <v xml:space="preserve">   Appareils de radionavigation</v>
      </c>
      <c r="C9164">
        <v>10657934</v>
      </c>
      <c r="D9164">
        <v>849</v>
      </c>
    </row>
    <row r="9165" spans="1:4" x14ac:dyDescent="0.25">
      <c r="A9165" t="str">
        <f>T("   852692")</f>
        <v xml:space="preserve">   852692</v>
      </c>
      <c r="B9165" t="str">
        <f>T("   Appareils de radiotélécommande")</f>
        <v xml:space="preserve">   Appareils de radiotélécommande</v>
      </c>
      <c r="C9165">
        <v>214558877</v>
      </c>
      <c r="D9165">
        <v>6198</v>
      </c>
    </row>
    <row r="9166" spans="1:4" x14ac:dyDescent="0.25">
      <c r="A9166" t="str">
        <f>T("   852719")</f>
        <v xml:space="preserve">   852719</v>
      </c>
      <c r="B9166" t="str">
        <f>T("   Récepteurs de radiodiffusion pouvant fonctionner sans source d'énergie extérieure, y.c. les appareils recevant également la radiotéléphonie ou la radiotélégraphie, non combinés à un appareil d'enregistrement et de reproduction du son")</f>
        <v xml:space="preserve">   Récepteurs de radiodiffusion pouvant fonctionner sans source d'énergie extérieure, y.c. les appareils recevant également la radiotéléphonie ou la radiotélégraphie, non combinés à un appareil d'enregistrement et de reproduction du son</v>
      </c>
      <c r="C9166">
        <v>488690</v>
      </c>
      <c r="D9166">
        <v>200</v>
      </c>
    </row>
    <row r="9167" spans="1:4" x14ac:dyDescent="0.25">
      <c r="A9167" t="str">
        <f>T("   852790")</f>
        <v xml:space="preserve">   852790</v>
      </c>
      <c r="B9167" t="str">
        <f>T("   Récepteurs pour la radiotéléphonie, la radiotélégraphie ou la radiodiffusion commerciale")</f>
        <v xml:space="preserve">   Récepteurs pour la radiotéléphonie, la radiotélégraphie ou la radiodiffusion commerciale</v>
      </c>
      <c r="C9167">
        <v>300430</v>
      </c>
      <c r="D9167">
        <v>200</v>
      </c>
    </row>
    <row r="9168" spans="1:4" x14ac:dyDescent="0.25">
      <c r="A9168" t="str">
        <f>T("   852812")</f>
        <v xml:space="preserve">   852812</v>
      </c>
      <c r="B9168"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9168">
        <v>2108642</v>
      </c>
      <c r="D9168">
        <v>5760</v>
      </c>
    </row>
    <row r="9169" spans="1:4" x14ac:dyDescent="0.25">
      <c r="A9169" t="str">
        <f>T("   853939")</f>
        <v xml:space="preserve">   853939</v>
      </c>
      <c r="B9169" t="str">
        <f>T("   Lampes et tubes à décharge (autres que fluorescents, à cathode chaude, à vapeur de mercure ou de sodium, à halogénure métallique et qu'à rayons ultraviolets)")</f>
        <v xml:space="preserve">   Lampes et tubes à décharge (autres que fluorescents, à cathode chaude, à vapeur de mercure ou de sodium, à halogénure métallique et qu'à rayons ultraviolets)</v>
      </c>
      <c r="C9169">
        <v>144039</v>
      </c>
      <c r="D9169">
        <v>9.3000000000000007</v>
      </c>
    </row>
    <row r="9170" spans="1:4" x14ac:dyDescent="0.25">
      <c r="A9170" t="str">
        <f>T("   854449")</f>
        <v xml:space="preserve">   854449</v>
      </c>
      <c r="B9170" t="str">
        <f>T("   CONDUCTEURS ÉLECTRIQUES, POUR TENSION &lt;= 1.000 V, ISOLÉS, SANS PIÈCES DE CONNEXION, N.D.A.")</f>
        <v xml:space="preserve">   CONDUCTEURS ÉLECTRIQUES, POUR TENSION &lt;= 1.000 V, ISOLÉS, SANS PIÈCES DE CONNEXION, N.D.A.</v>
      </c>
      <c r="C9170">
        <v>196132</v>
      </c>
      <c r="D9170">
        <v>1</v>
      </c>
    </row>
    <row r="9171" spans="1:4" x14ac:dyDescent="0.25">
      <c r="A9171" t="str">
        <f>T("   860900")</f>
        <v xml:space="preserve">   860900</v>
      </c>
      <c r="B9171" t="str">
        <f>T("   CADRES ET CONTENEURS -Y.C. LES CONTENEURS-CITERNES ET LES CONTENEURS-RÉSERVOIRS- SPÉCIALEMENT CONÇUS ET ÉQUIPÉS POUR UN OU PLUSIEURS MODES DE TRANSPORT")</f>
        <v xml:space="preserve">   CADRES ET CONTENEURS -Y.C. LES CONTENEURS-CITERNES ET LES CONTENEURS-RÉSERVOIRS- SPÉCIALEMENT CONÇUS ET ÉQUIPÉS POUR UN OU PLUSIEURS MODES DE TRANSPORT</v>
      </c>
      <c r="C9171">
        <v>186197615</v>
      </c>
      <c r="D9171">
        <v>127693</v>
      </c>
    </row>
    <row r="9172" spans="1:4" x14ac:dyDescent="0.25">
      <c r="A9172" t="str">
        <f>T("   870120")</f>
        <v xml:space="preserve">   870120</v>
      </c>
      <c r="B9172" t="str">
        <f>T("   Tracteurs routiers pour semi-remorques")</f>
        <v xml:space="preserve">   Tracteurs routiers pour semi-remorques</v>
      </c>
      <c r="C9172">
        <v>185961385</v>
      </c>
      <c r="D9172">
        <v>572204</v>
      </c>
    </row>
    <row r="9173" spans="1:4" x14ac:dyDescent="0.25">
      <c r="A9173" t="str">
        <f>T("   870130")</f>
        <v xml:space="preserve">   870130</v>
      </c>
      <c r="B9173" t="str">
        <f>T("   Tracteurs à chenilles (sauf motoculteurs à chenille)")</f>
        <v xml:space="preserve">   Tracteurs à chenilles (sauf motoculteurs à chenille)</v>
      </c>
      <c r="C9173">
        <v>1494781</v>
      </c>
      <c r="D9173">
        <v>7000</v>
      </c>
    </row>
    <row r="9174" spans="1:4" x14ac:dyDescent="0.25">
      <c r="A9174" t="str">
        <f>T("   870210")</f>
        <v xml:space="preserve">   870210</v>
      </c>
      <c r="B9174" t="s">
        <v>477</v>
      </c>
      <c r="C9174">
        <v>38804026</v>
      </c>
      <c r="D9174">
        <v>46778</v>
      </c>
    </row>
    <row r="9175" spans="1:4" x14ac:dyDescent="0.25">
      <c r="A9175" t="str">
        <f>T("   870290")</f>
        <v xml:space="preserve">   870290</v>
      </c>
      <c r="B9175" t="s">
        <v>478</v>
      </c>
      <c r="C9175">
        <v>145392919</v>
      </c>
      <c r="D9175">
        <v>202202</v>
      </c>
    </row>
    <row r="9176" spans="1:4" x14ac:dyDescent="0.25">
      <c r="A9176" t="str">
        <f>T("   870322")</f>
        <v xml:space="preserve">   870322</v>
      </c>
      <c r="B9176" t="s">
        <v>480</v>
      </c>
      <c r="C9176">
        <v>2670934804</v>
      </c>
      <c r="D9176">
        <v>2139902</v>
      </c>
    </row>
    <row r="9177" spans="1:4" x14ac:dyDescent="0.25">
      <c r="A9177" t="str">
        <f>T("   870323")</f>
        <v xml:space="preserve">   870323</v>
      </c>
      <c r="B9177" t="s">
        <v>481</v>
      </c>
      <c r="C9177">
        <v>243876422</v>
      </c>
      <c r="D9177">
        <v>169360</v>
      </c>
    </row>
    <row r="9178" spans="1:4" x14ac:dyDescent="0.25">
      <c r="A9178" t="str">
        <f>T("   870324")</f>
        <v xml:space="preserve">   870324</v>
      </c>
      <c r="B9178" t="s">
        <v>482</v>
      </c>
      <c r="C9178">
        <v>29005444</v>
      </c>
      <c r="D9178">
        <v>13199</v>
      </c>
    </row>
    <row r="9179" spans="1:4" x14ac:dyDescent="0.25">
      <c r="A9179" t="str">
        <f>T("   870332")</f>
        <v xml:space="preserve">   870332</v>
      </c>
      <c r="B9179" t="s">
        <v>484</v>
      </c>
      <c r="C9179">
        <v>15066089</v>
      </c>
      <c r="D9179">
        <v>2165</v>
      </c>
    </row>
    <row r="9180" spans="1:4" x14ac:dyDescent="0.25">
      <c r="A9180" t="str">
        <f>T("   870333")</f>
        <v xml:space="preserve">   870333</v>
      </c>
      <c r="B9180" t="s">
        <v>485</v>
      </c>
      <c r="C9180">
        <v>2400000</v>
      </c>
      <c r="D9180">
        <v>2100</v>
      </c>
    </row>
    <row r="9181" spans="1:4" x14ac:dyDescent="0.25">
      <c r="A9181" t="str">
        <f>T("   870421")</f>
        <v xml:space="preserve">   870421</v>
      </c>
      <c r="B9181" t="s">
        <v>486</v>
      </c>
      <c r="C9181">
        <v>377802091</v>
      </c>
      <c r="D9181">
        <v>308678</v>
      </c>
    </row>
    <row r="9182" spans="1:4" x14ac:dyDescent="0.25">
      <c r="A9182" t="str">
        <f>T("   870422")</f>
        <v xml:space="preserve">   870422</v>
      </c>
      <c r="B9182" t="s">
        <v>487</v>
      </c>
      <c r="C9182">
        <v>127160535</v>
      </c>
      <c r="D9182">
        <v>492212</v>
      </c>
    </row>
    <row r="9183" spans="1:4" x14ac:dyDescent="0.25">
      <c r="A9183" t="str">
        <f>T("   870431")</f>
        <v xml:space="preserve">   870431</v>
      </c>
      <c r="B9183" t="s">
        <v>489</v>
      </c>
      <c r="C9183">
        <v>106031220</v>
      </c>
      <c r="D9183">
        <v>119091</v>
      </c>
    </row>
    <row r="9184" spans="1:4" x14ac:dyDescent="0.25">
      <c r="A9184" t="str">
        <f>T("   870490")</f>
        <v xml:space="preserve">   870490</v>
      </c>
      <c r="B9184" t="str">
        <f>T("   Véhicules automobiles pour le transport de marchandises à moteur autre qu'à piston à allumage par étincelles ou moteur diesel ou semi-diesel (sauf tombereaux automoteurs du n° 8704.10, véhicules automobiles à usages spéciaux du n° 8705)")</f>
        <v xml:space="preserve">   Véhicules automobiles pour le transport de marchandises à moteur autre qu'à piston à allumage par étincelles ou moteur diesel ou semi-diesel (sauf tombereaux automoteurs du n° 8704.10, véhicules automobiles à usages spéciaux du n° 8705)</v>
      </c>
      <c r="C9184">
        <v>7218344</v>
      </c>
      <c r="D9184">
        <v>8568</v>
      </c>
    </row>
    <row r="9185" spans="1:4" x14ac:dyDescent="0.25">
      <c r="A9185" t="str">
        <f>T("   870590")</f>
        <v xml:space="preserve">   870590</v>
      </c>
      <c r="B9185" t="s">
        <v>491</v>
      </c>
      <c r="C9185">
        <v>2500000</v>
      </c>
      <c r="D9185">
        <v>22000</v>
      </c>
    </row>
    <row r="9186" spans="1:4" x14ac:dyDescent="0.25">
      <c r="A9186" t="str">
        <f>T("   870829")</f>
        <v xml:space="preserve">   870829</v>
      </c>
      <c r="B9186" t="s">
        <v>493</v>
      </c>
      <c r="C9186">
        <v>2478873</v>
      </c>
      <c r="D9186">
        <v>434</v>
      </c>
    </row>
    <row r="9187" spans="1:4" x14ac:dyDescent="0.25">
      <c r="A9187" t="str">
        <f>T("   870891")</f>
        <v xml:space="preserve">   870891</v>
      </c>
      <c r="B9187" t="str">
        <f>T("   RADIATEURS ET LEURS PARTIES, POUR TRACTEURS, VÉHICULES POUR LE TRANSPORT DE &gt;= 10 PERSONNES, CHAUFFEUR INCLUS, VOITURES DE TOURISME, VÉHICULES POUR LE TRANSPORT DE MARCHANDISES ET VÉHICULES À USAGES SPÉCIAUX, N.D.A.")</f>
        <v xml:space="preserve">   RADIATEURS ET LEURS PARTIES, POUR TRACTEURS, VÉHICULES POUR LE TRANSPORT DE &gt;= 10 PERSONNES, CHAUFFEUR INCLUS, VOITURES DE TOURISME, VÉHICULES POUR LE TRANSPORT DE MARCHANDISES ET VÉHICULES À USAGES SPÉCIAUX, N.D.A.</v>
      </c>
      <c r="C9187">
        <v>50509</v>
      </c>
      <c r="D9187">
        <v>15</v>
      </c>
    </row>
    <row r="9188" spans="1:4" x14ac:dyDescent="0.25">
      <c r="A9188" t="str">
        <f>T("   870899")</f>
        <v xml:space="preserve">   870899</v>
      </c>
      <c r="B9188"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9188">
        <v>18870582</v>
      </c>
      <c r="D9188">
        <v>5802</v>
      </c>
    </row>
    <row r="9189" spans="1:4" x14ac:dyDescent="0.25">
      <c r="A9189" t="str">
        <f>T("   870990")</f>
        <v xml:space="preserve">   870990</v>
      </c>
      <c r="B9189" t="str">
        <f>T("   Parties de chariots automobiles non munis d'un dispositif de levage, des types utilisés pour le transport des marchandises sur de courtes distances, y.c. les chariots-tracteurs des types utilisés dans les gares, n.d.a.")</f>
        <v xml:space="preserve">   Parties de chariots automobiles non munis d'un dispositif de levage, des types utilisés pour le transport des marchandises sur de courtes distances, y.c. les chariots-tracteurs des types utilisés dans les gares, n.d.a.</v>
      </c>
      <c r="C9189">
        <v>3359696</v>
      </c>
      <c r="D9189">
        <v>136.5</v>
      </c>
    </row>
    <row r="9190" spans="1:4" x14ac:dyDescent="0.25">
      <c r="A9190" t="str">
        <f>T("   871120")</f>
        <v xml:space="preserve">   871120</v>
      </c>
      <c r="B9190" t="str">
        <f>T("   Motocycles à moteur à piston alternatif, cylindrée &gt; 50 cm³ mais &lt;= 250 cm³")</f>
        <v xml:space="preserve">   Motocycles à moteur à piston alternatif, cylindrée &gt; 50 cm³ mais &lt;= 250 cm³</v>
      </c>
      <c r="C9190">
        <v>5505000</v>
      </c>
      <c r="D9190">
        <v>9120</v>
      </c>
    </row>
    <row r="9191" spans="1:4" x14ac:dyDescent="0.25">
      <c r="A9191" t="str">
        <f>T("   871200")</f>
        <v xml:space="preserve">   871200</v>
      </c>
      <c r="B9191" t="str">
        <f>T("   BICYCLETTES ET AUTRES CYCLES, -Y.C. LES TRIPORTEURS-, SANS MOTEUR")</f>
        <v xml:space="preserve">   BICYCLETTES ET AUTRES CYCLES, -Y.C. LES TRIPORTEURS-, SANS MOTEUR</v>
      </c>
      <c r="C9191">
        <v>406695</v>
      </c>
      <c r="D9191">
        <v>950</v>
      </c>
    </row>
    <row r="9192" spans="1:4" x14ac:dyDescent="0.25">
      <c r="A9192" t="str">
        <f>T("   871411")</f>
        <v xml:space="preserve">   871411</v>
      </c>
      <c r="B9192" t="str">
        <f>T("   Selles de motocycles, y.c. de cyclomoteurs")</f>
        <v xml:space="preserve">   Selles de motocycles, y.c. de cyclomoteurs</v>
      </c>
      <c r="C9192">
        <v>1000000</v>
      </c>
      <c r="D9192">
        <v>1000</v>
      </c>
    </row>
    <row r="9193" spans="1:4" x14ac:dyDescent="0.25">
      <c r="A9193" t="str">
        <f>T("   871419")</f>
        <v xml:space="preserve">   871419</v>
      </c>
      <c r="B9193" t="str">
        <f>T("   Parties et accessoires de motocycles, y.c. de cyclomoteurs, n.d.a.")</f>
        <v xml:space="preserve">   Parties et accessoires de motocycles, y.c. de cyclomoteurs, n.d.a.</v>
      </c>
      <c r="C9193">
        <v>43877</v>
      </c>
      <c r="D9193">
        <v>150</v>
      </c>
    </row>
    <row r="9194" spans="1:4" x14ac:dyDescent="0.25">
      <c r="A9194" t="str">
        <f>T("   871640")</f>
        <v xml:space="preserve">   871640</v>
      </c>
      <c r="B9194"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9194">
        <v>108058112</v>
      </c>
      <c r="D9194">
        <v>386470</v>
      </c>
    </row>
    <row r="9195" spans="1:4" x14ac:dyDescent="0.25">
      <c r="A9195" t="str">
        <f>T("   890190")</f>
        <v xml:space="preserve">   890190</v>
      </c>
      <c r="B9195" t="str">
        <f>T("   Cargos et bateaux pour le transport de personnes et de marchandises (autres que bateaux frigorifiques, bateaux-citernes, cargos et bateaux destinés essentiellement au transport des personnes)")</f>
        <v xml:space="preserve">   Cargos et bateaux pour le transport de personnes et de marchandises (autres que bateaux frigorifiques, bateaux-citernes, cargos et bateaux destinés essentiellement au transport des personnes)</v>
      </c>
      <c r="C9195">
        <v>495906</v>
      </c>
      <c r="D9195">
        <v>24</v>
      </c>
    </row>
    <row r="9196" spans="1:4" x14ac:dyDescent="0.25">
      <c r="A9196" t="str">
        <f>T("   890590")</f>
        <v xml:space="preserve">   890590</v>
      </c>
      <c r="B9196" t="s">
        <v>497</v>
      </c>
      <c r="C9196">
        <v>1393259</v>
      </c>
      <c r="D9196">
        <v>698</v>
      </c>
    </row>
    <row r="9197" spans="1:4" x14ac:dyDescent="0.25">
      <c r="A9197" t="str">
        <f>T("   900490")</f>
        <v xml:space="preserve">   900490</v>
      </c>
      <c r="B9197" t="str">
        <f>T("   Lunettes correctrices, protectrices ou autres et articles simil. (à l'excl. des lunettes pour tests visuels, des lunettes solaires, des verres de contact, des verres de lunetterie et des montures de lunettes)")</f>
        <v xml:space="preserve">   Lunettes correctrices, protectrices ou autres et articles simil. (à l'excl. des lunettes pour tests visuels, des lunettes solaires, des verres de contact, des verres de lunetterie et des montures de lunettes)</v>
      </c>
      <c r="C9197">
        <v>144312</v>
      </c>
      <c r="D9197">
        <v>615</v>
      </c>
    </row>
    <row r="9198" spans="1:4" x14ac:dyDescent="0.25">
      <c r="A9198" t="str">
        <f>T("   901180")</f>
        <v xml:space="preserve">   901180</v>
      </c>
      <c r="B9198" t="s">
        <v>500</v>
      </c>
      <c r="C9198">
        <v>243691</v>
      </c>
      <c r="D9198">
        <v>29</v>
      </c>
    </row>
    <row r="9199" spans="1:4" x14ac:dyDescent="0.25">
      <c r="A9199" t="str">
        <f>T("   901780")</f>
        <v xml:space="preserve">   901780</v>
      </c>
      <c r="B9199" t="str">
        <f>T("   Instruments de mesure de longueurs, pour emploi à la main, n.d.a.")</f>
        <v xml:space="preserve">   Instruments de mesure de longueurs, pour emploi à la main, n.d.a.</v>
      </c>
      <c r="C9199">
        <v>6617</v>
      </c>
      <c r="D9199">
        <v>73</v>
      </c>
    </row>
    <row r="9200" spans="1:4" x14ac:dyDescent="0.25">
      <c r="A9200" t="str">
        <f>T("   901831")</f>
        <v xml:space="preserve">   901831</v>
      </c>
      <c r="B9200" t="str">
        <f>T("   Seringues, avec ou sans aiguilles, pour la médecine")</f>
        <v xml:space="preserve">   Seringues, avec ou sans aiguilles, pour la médecine</v>
      </c>
      <c r="C9200">
        <v>7946300</v>
      </c>
      <c r="D9200">
        <v>1455</v>
      </c>
    </row>
    <row r="9201" spans="1:4" x14ac:dyDescent="0.25">
      <c r="A9201" t="str">
        <f>T("   901839")</f>
        <v xml:space="preserve">   901839</v>
      </c>
      <c r="B9201" t="str">
        <f>T("   AIGUILLES, CTHEÉTERS, CANULES ET SIMIL. POUR LA MÉDECINE (SAUF SERINGUES, AIGUILLES TUBULAIRES EN MÉTAL ET AIGUILLES À SUTURES)")</f>
        <v xml:space="preserve">   AIGUILLES, CTHEÉTERS, CANULES ET SIMIL. POUR LA MÉDECINE (SAUF SERINGUES, AIGUILLES TUBULAIRES EN MÉTAL ET AIGUILLES À SUTURES)</v>
      </c>
      <c r="C9201">
        <v>5942998</v>
      </c>
      <c r="D9201">
        <v>978</v>
      </c>
    </row>
    <row r="9202" spans="1:4" x14ac:dyDescent="0.25">
      <c r="A9202" t="str">
        <f>T("   902519")</f>
        <v xml:space="preserve">   902519</v>
      </c>
      <c r="B9202" t="str">
        <f>T("   THERMOMÈTRES ET PYROMÈTRES, NON-COMBINÉS À D'AUTRES INSTRUMENTS (À L'EXCL. DES THERMOMÈTRES À LIQUIDE, À LECTURE DIRECTE) [01/01/1988-31/12/1991: THERMOMÈTRES, NON COMBINES A D'AUTRES INSTRUMENTS, (NON REPR. SOUS 9025.11)]")</f>
        <v xml:space="preserve">   THERMOMÈTRES ET PYROMÈTRES, NON-COMBINÉS À D'AUTRES INSTRUMENTS (À L'EXCL. DES THERMOMÈTRES À LIQUIDE, À LECTURE DIRECTE) [01/01/1988-31/12/1991: THERMOMÈTRES, NON COMBINES A D'AUTRES INSTRUMENTS, (NON REPR. SOUS 9025.11)]</v>
      </c>
      <c r="C9202">
        <v>5209634</v>
      </c>
      <c r="D9202">
        <v>11</v>
      </c>
    </row>
    <row r="9203" spans="1:4" x14ac:dyDescent="0.25">
      <c r="A9203" t="str">
        <f>T("   902590")</f>
        <v xml:space="preserve">   902590</v>
      </c>
      <c r="B9203" t="str">
        <f>T("   Parties et accessoires des densimètres, aréomètres, pèse-liquides et instruments flottants simil., des thermomètres, pyromètres, baromètres, hygromètres et psychromètres, n.d.a.")</f>
        <v xml:space="preserve">   Parties et accessoires des densimètres, aréomètres, pèse-liquides et instruments flottants simil., des thermomètres, pyromètres, baromètres, hygromètres et psychromètres, n.d.a.</v>
      </c>
      <c r="C9203">
        <v>256480</v>
      </c>
      <c r="D9203">
        <v>42</v>
      </c>
    </row>
    <row r="9204" spans="1:4" x14ac:dyDescent="0.25">
      <c r="A9204" t="str">
        <f>T("   902620")</f>
        <v xml:space="preserve">   902620</v>
      </c>
      <c r="B9204" t="str">
        <f>T("   Instruments et appareils pour la mesure ou le contrôle de la pression des liquides ou des gaz (à l'excl. des instruments et appareils pour la régulation ou le contrôle automatiques)")</f>
        <v xml:space="preserve">   Instruments et appareils pour la mesure ou le contrôle de la pression des liquides ou des gaz (à l'excl. des instruments et appareils pour la régulation ou le contrôle automatiques)</v>
      </c>
      <c r="C9204">
        <v>442340</v>
      </c>
      <c r="D9204">
        <v>200.5</v>
      </c>
    </row>
    <row r="9205" spans="1:4" x14ac:dyDescent="0.25">
      <c r="A9205" t="str">
        <f>T("   902780")</f>
        <v xml:space="preserve">   902780</v>
      </c>
      <c r="B9205" t="str">
        <f>T("   Instruments et appareils pour analyses physiques ou chimiques, ou pour essais de viscosité, de porosité, de dilatation, de tension superficielle ou simil. ou pour mesures calorimétriques ou acoustiques ou photométriques, n.d.a.")</f>
        <v xml:space="preserve">   Instruments et appareils pour analyses physiques ou chimiques, ou pour essais de viscosité, de porosité, de dilatation, de tension superficielle ou simil. ou pour mesures calorimétriques ou acoustiques ou photométriques, n.d.a.</v>
      </c>
      <c r="C9205">
        <v>6688824</v>
      </c>
      <c r="D9205">
        <v>4</v>
      </c>
    </row>
    <row r="9206" spans="1:4" x14ac:dyDescent="0.25">
      <c r="A9206" t="str">
        <f>T("   903290")</f>
        <v xml:space="preserve">   903290</v>
      </c>
      <c r="B9206" t="str">
        <f>T("   Parties et accessoires des instruments et appareils pour la régulation ou le contrôle automatiques, n.d.a.")</f>
        <v xml:space="preserve">   Parties et accessoires des instruments et appareils pour la régulation ou le contrôle automatiques, n.d.a.</v>
      </c>
      <c r="C9206">
        <v>219009</v>
      </c>
      <c r="D9206">
        <v>0.5</v>
      </c>
    </row>
    <row r="9207" spans="1:4" x14ac:dyDescent="0.25">
      <c r="A9207" t="str">
        <f>T("   910690")</f>
        <v xml:space="preserve">   910690</v>
      </c>
      <c r="B9207" t="str">
        <f>T("   APPAREILS DE CONTRÔLE DE TEMPS, À MOUVEMENT D'HORLOGERIE OU À MOTEUR SYNCHRONE (AUTRES QU'APPAREILS D'HORLOGERIE DU N° 9101 À 9105, HORLOGES DE POINTAGE, HORODATEURS ET HOROCOMPTEURS)")</f>
        <v xml:space="preserve">   APPAREILS DE CONTRÔLE DE TEMPS, À MOUVEMENT D'HORLOGERIE OU À MOTEUR SYNCHRONE (AUTRES QU'APPAREILS D'HORLOGERIE DU N° 9101 À 9105, HORLOGES DE POINTAGE, HORODATEURS ET HOROCOMPTEURS)</v>
      </c>
      <c r="C9207">
        <v>308623</v>
      </c>
      <c r="D9207">
        <v>40</v>
      </c>
    </row>
    <row r="9208" spans="1:4" x14ac:dyDescent="0.25">
      <c r="A9208" t="str">
        <f>T("   911390")</f>
        <v xml:space="preserve">   911390</v>
      </c>
      <c r="B9208" t="str">
        <f>T("   Bracelets de montres et leurs parties, n.d.a.")</f>
        <v xml:space="preserve">   Bracelets de montres et leurs parties, n.d.a.</v>
      </c>
      <c r="C9208">
        <v>402198</v>
      </c>
      <c r="D9208">
        <v>11</v>
      </c>
    </row>
    <row r="9209" spans="1:4" x14ac:dyDescent="0.25">
      <c r="A9209" t="str">
        <f>T("   940290")</f>
        <v xml:space="preserve">   940290</v>
      </c>
      <c r="B9209" t="str">
        <f>T("   Tables d'opération, tables d'examen et autre mobilier pour la médecine, la chirurgie, l'art dentaire ou vétérinaire (sauf fauteuils de dentistes et autres sièges, tables d'examen radiographique, civières et brancards, y.c. chariots-brancards)")</f>
        <v xml:space="preserve">   Tables d'opération, tables d'examen et autre mobilier pour la médecine, la chirurgie, l'art dentaire ou vétérinaire (sauf fauteuils de dentistes et autres sièges, tables d'examen radiographique, civières et brancards, y.c. chariots-brancards)</v>
      </c>
      <c r="C9209">
        <v>468073</v>
      </c>
      <c r="D9209">
        <v>6005</v>
      </c>
    </row>
    <row r="9210" spans="1:4" x14ac:dyDescent="0.25">
      <c r="A9210" t="str">
        <f>T("   940350")</f>
        <v xml:space="preserve">   940350</v>
      </c>
      <c r="B9210" t="str">
        <f>T("   Meubles pour chambres à coucher, en bois (sauf sièges)")</f>
        <v xml:space="preserve">   Meubles pour chambres à coucher, en bois (sauf sièges)</v>
      </c>
      <c r="C9210">
        <v>1700000</v>
      </c>
      <c r="D9210">
        <v>2200</v>
      </c>
    </row>
    <row r="9211" spans="1:4" x14ac:dyDescent="0.25">
      <c r="A9211" t="str">
        <f>T("   940360")</f>
        <v xml:space="preserve">   940360</v>
      </c>
      <c r="B9211" t="str">
        <f>T("   Meubles en bois (autres que pour bureaux, cuisines ou chambres à coucher et autres que sièges)")</f>
        <v xml:space="preserve">   Meubles en bois (autres que pour bureaux, cuisines ou chambres à coucher et autres que sièges)</v>
      </c>
      <c r="C9211">
        <v>8835118</v>
      </c>
      <c r="D9211">
        <v>11131</v>
      </c>
    </row>
    <row r="9212" spans="1:4" x14ac:dyDescent="0.25">
      <c r="A9212" t="str">
        <f>T("   940380")</f>
        <v xml:space="preserve">   940380</v>
      </c>
      <c r="B9212" t="str">
        <f>T("   Meubles en rotin, osier, bambou ou autres matières (sauf métal, bois et matières plastiques)")</f>
        <v xml:space="preserve">   Meubles en rotin, osier, bambou ou autres matières (sauf métal, bois et matières plastiques)</v>
      </c>
      <c r="C9212">
        <v>1728563</v>
      </c>
      <c r="D9212">
        <v>18833</v>
      </c>
    </row>
    <row r="9213" spans="1:4" x14ac:dyDescent="0.25">
      <c r="A9213" t="str">
        <f>T("   940490")</f>
        <v xml:space="preserve">   940490</v>
      </c>
      <c r="B9213" t="s">
        <v>514</v>
      </c>
      <c r="C9213">
        <v>350000</v>
      </c>
      <c r="D9213">
        <v>189</v>
      </c>
    </row>
    <row r="9214" spans="1:4" x14ac:dyDescent="0.25">
      <c r="A9214" t="str">
        <f>T("   940530")</f>
        <v xml:space="preserve">   940530</v>
      </c>
      <c r="B9214" t="str">
        <f>T("   GUIRLANDES ÉLECTRIQUES POUR ARBRES DE NOÙL")</f>
        <v xml:space="preserve">   GUIRLANDES ÉLECTRIQUES POUR ARBRES DE NOÙL</v>
      </c>
      <c r="C9214">
        <v>2938366</v>
      </c>
      <c r="D9214">
        <v>702</v>
      </c>
    </row>
    <row r="9215" spans="1:4" x14ac:dyDescent="0.25">
      <c r="A9215" t="str">
        <f>T("   940600")</f>
        <v xml:space="preserve">   940600</v>
      </c>
      <c r="B9215" t="str">
        <f>T("   Constructions préfabriquées, même incomplètes ou non encore montées")</f>
        <v xml:space="preserve">   Constructions préfabriquées, même incomplètes ou non encore montées</v>
      </c>
      <c r="C9215">
        <v>15755930</v>
      </c>
      <c r="D9215">
        <v>6000</v>
      </c>
    </row>
    <row r="9216" spans="1:4" x14ac:dyDescent="0.25">
      <c r="A9216" t="str">
        <f>T("   950299")</f>
        <v xml:space="preserve">   950299</v>
      </c>
      <c r="B9216" t="str">
        <f>T("   Parties et accessoires pour poupées représentant uniquement l'être humain, n.d.a.")</f>
        <v xml:space="preserve">   Parties et accessoires pour poupées représentant uniquement l'être humain, n.d.a.</v>
      </c>
      <c r="C9216">
        <v>98394</v>
      </c>
      <c r="D9216">
        <v>420</v>
      </c>
    </row>
    <row r="9217" spans="1:4" x14ac:dyDescent="0.25">
      <c r="A9217" t="str">
        <f>T("   950390")</f>
        <v xml:space="preserve">   950390</v>
      </c>
      <c r="B9217" t="str">
        <f>T("   Jouets, n.d.a.")</f>
        <v xml:space="preserve">   Jouets, n.d.a.</v>
      </c>
      <c r="C9217">
        <v>945895</v>
      </c>
      <c r="D9217">
        <v>1350</v>
      </c>
    </row>
    <row r="9218" spans="1:4" x14ac:dyDescent="0.25">
      <c r="A9218" t="str">
        <f>T("   950590")</f>
        <v xml:space="preserve">   950590</v>
      </c>
      <c r="B9218" t="str">
        <f>T("   Articles pour fêtes, carnaval ou autres divertissements, y.c. les articles de magie et articles-surprises, n.d.a.")</f>
        <v xml:space="preserve">   Articles pour fêtes, carnaval ou autres divertissements, y.c. les articles de magie et articles-surprises, n.d.a.</v>
      </c>
      <c r="C9218">
        <v>693350</v>
      </c>
      <c r="D9218">
        <v>347</v>
      </c>
    </row>
    <row r="9219" spans="1:4" x14ac:dyDescent="0.25">
      <c r="A9219" t="str">
        <f>T("   950662")</f>
        <v xml:space="preserve">   950662</v>
      </c>
      <c r="B9219" t="str">
        <f>T("   Ballons et balles gonflables")</f>
        <v xml:space="preserve">   Ballons et balles gonflables</v>
      </c>
      <c r="C9219">
        <v>434554</v>
      </c>
      <c r="D9219">
        <v>170</v>
      </c>
    </row>
    <row r="9220" spans="1:4" x14ac:dyDescent="0.25">
      <c r="A9220" t="str">
        <f>T("   950669")</f>
        <v xml:space="preserve">   950669</v>
      </c>
      <c r="B9220" t="str">
        <f>T("   Ballons et balles (autres que gonflables et autres que balles de golf ou de tennis de table)")</f>
        <v xml:space="preserve">   Ballons et balles (autres que gonflables et autres que balles de golf ou de tennis de table)</v>
      </c>
      <c r="C9220">
        <v>301741</v>
      </c>
      <c r="D9220">
        <v>1285</v>
      </c>
    </row>
    <row r="9221" spans="1:4" x14ac:dyDescent="0.25">
      <c r="A9221" t="str">
        <f>T("   960810")</f>
        <v xml:space="preserve">   960810</v>
      </c>
      <c r="B9221" t="str">
        <f>T("   Stylos et crayons à bille")</f>
        <v xml:space="preserve">   Stylos et crayons à bille</v>
      </c>
      <c r="C9221">
        <v>113952</v>
      </c>
      <c r="D9221">
        <v>100</v>
      </c>
    </row>
    <row r="9222" spans="1:4" x14ac:dyDescent="0.25">
      <c r="A9222" t="str">
        <f>T("   961800")</f>
        <v xml:space="preserve">   961800</v>
      </c>
      <c r="B9222" t="str">
        <f>T("   Mannequins et articles simil.; automates et scènes animées pour étalages (à l'excl. des modèles utilisés pour l'enseignement, des poupées présentant des caractères de jouet et des marchandises présentées sur ces mannequins)")</f>
        <v xml:space="preserve">   Mannequins et articles simil.; automates et scènes animées pour étalages (à l'excl. des modèles utilisés pour l'enseignement, des poupées présentant des caractères de jouet et des marchandises présentées sur ces mannequins)</v>
      </c>
      <c r="C9222">
        <v>575930</v>
      </c>
      <c r="D9222">
        <v>159.69999999999999</v>
      </c>
    </row>
    <row r="9223" spans="1:4" x14ac:dyDescent="0.25">
      <c r="A9223" t="str">
        <f>T("NO")</f>
        <v>NO</v>
      </c>
      <c r="B9223" t="str">
        <f>T("Norvège")</f>
        <v>Norvège</v>
      </c>
    </row>
    <row r="9224" spans="1:4" x14ac:dyDescent="0.25">
      <c r="A9224" t="str">
        <f>T("   ZZ_Total_Produit_SH6")</f>
        <v xml:space="preserve">   ZZ_Total_Produit_SH6</v>
      </c>
      <c r="B9224" t="str">
        <f>T("   ZZ_Total_Produit_SH6")</f>
        <v xml:space="preserve">   ZZ_Total_Produit_SH6</v>
      </c>
      <c r="C9224">
        <v>8760150105</v>
      </c>
      <c r="D9224">
        <v>259874092.09999999</v>
      </c>
    </row>
    <row r="9225" spans="1:4" x14ac:dyDescent="0.25">
      <c r="A9225" t="str">
        <f>T("   030379")</f>
        <v xml:space="preserve">   030379</v>
      </c>
      <c r="B9225" t="s">
        <v>17</v>
      </c>
      <c r="C9225">
        <v>9100133</v>
      </c>
      <c r="D9225">
        <v>52000</v>
      </c>
    </row>
    <row r="9226" spans="1:4" x14ac:dyDescent="0.25">
      <c r="A9226" t="str">
        <f>T("   250510")</f>
        <v xml:space="preserve">   250510</v>
      </c>
      <c r="B9226" t="str">
        <f>T("   Sables siliceux et sables quartzeux, même colorés")</f>
        <v xml:space="preserve">   Sables siliceux et sables quartzeux, même colorés</v>
      </c>
      <c r="C9226">
        <v>2772219</v>
      </c>
      <c r="D9226">
        <v>2978</v>
      </c>
    </row>
    <row r="9227" spans="1:4" x14ac:dyDescent="0.25">
      <c r="A9227" t="str">
        <f>T("   252310")</f>
        <v xml:space="preserve">   252310</v>
      </c>
      <c r="B9227" t="str">
        <f>T("   Ciments non pulvérisés dits 'clinkers'")</f>
        <v xml:space="preserve">   Ciments non pulvérisés dits 'clinkers'</v>
      </c>
      <c r="C9227">
        <v>7571276790</v>
      </c>
      <c r="D9227">
        <v>252375663</v>
      </c>
    </row>
    <row r="9228" spans="1:4" x14ac:dyDescent="0.25">
      <c r="A9228" t="str">
        <f>T("   252329")</f>
        <v xml:space="preserve">   252329</v>
      </c>
      <c r="B9228" t="str">
        <f>T("   Ciment Portland normal ou modéré (à l'excl. des ciments Portland blancs, même colorés artificiellement)")</f>
        <v xml:space="preserve">   Ciment Portland normal ou modéré (à l'excl. des ciments Portland blancs, même colorés artificiellement)</v>
      </c>
      <c r="C9228">
        <v>210000000</v>
      </c>
      <c r="D9228">
        <v>6000000</v>
      </c>
    </row>
    <row r="9229" spans="1:4" x14ac:dyDescent="0.25">
      <c r="A9229" t="str">
        <f>T("   284161")</f>
        <v xml:space="preserve">   284161</v>
      </c>
      <c r="B9229" t="str">
        <f>T("   PERMANGANATE DE POTASSIUM")</f>
        <v xml:space="preserve">   PERMANGANATE DE POTASSIUM</v>
      </c>
      <c r="C9229">
        <v>616996</v>
      </c>
      <c r="D9229">
        <v>4</v>
      </c>
    </row>
    <row r="9230" spans="1:4" x14ac:dyDescent="0.25">
      <c r="A9230" t="str">
        <f>T("   320890")</f>
        <v xml:space="preserve">   320890</v>
      </c>
      <c r="B9230" t="s">
        <v>97</v>
      </c>
      <c r="C9230">
        <v>489006</v>
      </c>
      <c r="D9230">
        <v>356</v>
      </c>
    </row>
    <row r="9231" spans="1:4" x14ac:dyDescent="0.25">
      <c r="A9231" t="str">
        <f>T("   320990")</f>
        <v xml:space="preserve">   320990</v>
      </c>
      <c r="B9231" t="str">
        <f>T("   Peintures et vernis à base de polymères synthétiques ou de polymères naturels modifiés, dispersés ou dissous dans un milieu aqueux (à l'excl. des produits à base de polymères acryliques ou vinyliques)")</f>
        <v xml:space="preserve">   Peintures et vernis à base de polymères synthétiques ou de polymères naturels modifiés, dispersés ou dissous dans un milieu aqueux (à l'excl. des produits à base de polymères acryliques ou vinyliques)</v>
      </c>
      <c r="C9231">
        <v>881525</v>
      </c>
      <c r="D9231">
        <v>345</v>
      </c>
    </row>
    <row r="9232" spans="1:4" x14ac:dyDescent="0.25">
      <c r="A9232" t="str">
        <f>T("   382440")</f>
        <v xml:space="preserve">   382440</v>
      </c>
      <c r="B9232" t="str">
        <f>T("   Additifs préparés pour ciments, mortiers ou bétons")</f>
        <v xml:space="preserve">   Additifs préparés pour ciments, mortiers ou bétons</v>
      </c>
      <c r="C9232">
        <v>179471385</v>
      </c>
      <c r="D9232">
        <v>208620</v>
      </c>
    </row>
    <row r="9233" spans="1:4" x14ac:dyDescent="0.25">
      <c r="A9233" t="str">
        <f>T("   420291")</f>
        <v xml:space="preserve">   420291</v>
      </c>
      <c r="B9233" t="s">
        <v>164</v>
      </c>
      <c r="C9233">
        <v>38728</v>
      </c>
      <c r="D9233">
        <v>1</v>
      </c>
    </row>
    <row r="9234" spans="1:4" x14ac:dyDescent="0.25">
      <c r="A9234" t="str">
        <f>T("   481930")</f>
        <v xml:space="preserve">   481930</v>
      </c>
      <c r="B9234" t="str">
        <f>T("   Sacs, en papier, carton, ouate de cellulose ou nappes de fibres de cellulose, d'une largeur à la base &gt;= 40 cm")</f>
        <v xml:space="preserve">   Sacs, en papier, carton, ouate de cellulose ou nappes de fibres de cellulose, d'une largeur à la base &gt;= 40 cm</v>
      </c>
      <c r="C9234">
        <v>428863467</v>
      </c>
      <c r="D9234">
        <v>637571</v>
      </c>
    </row>
    <row r="9235" spans="1:4" x14ac:dyDescent="0.25">
      <c r="A9235" t="str">
        <f>T("   630533")</f>
        <v xml:space="preserve">   630533</v>
      </c>
      <c r="B9235" t="str">
        <f>T("   Sacs et sachets d'emballage obtenus à partir de lames ou formes simil., de polyéthylène ou polypropylène (à l'excl. des contenants souples pour matières en vrac)")</f>
        <v xml:space="preserve">   Sacs et sachets d'emballage obtenus à partir de lames ou formes simil., de polyéthylène ou polypropylène (à l'excl. des contenants souples pour matières en vrac)</v>
      </c>
      <c r="C9235">
        <v>45320</v>
      </c>
      <c r="D9235">
        <v>50</v>
      </c>
    </row>
    <row r="9236" spans="1:4" x14ac:dyDescent="0.25">
      <c r="A9236" t="str">
        <f>T("   630590")</f>
        <v xml:space="preserve">   630590</v>
      </c>
      <c r="B9236" t="str">
        <f>T("   Sacs et sachets d'emballage de matières textiles (autres qu'en matières textiles synthétiques ou artificielles, coton, jute ou autres fibres textiles libérienne du n° 5303)")</f>
        <v xml:space="preserve">   Sacs et sachets d'emballage de matières textiles (autres qu'en matières textiles synthétiques ou artificielles, coton, jute ou autres fibres textiles libérienne du n° 5303)</v>
      </c>
      <c r="C9236">
        <v>158814</v>
      </c>
      <c r="D9236">
        <v>175</v>
      </c>
    </row>
    <row r="9237" spans="1:4" x14ac:dyDescent="0.25">
      <c r="A9237" t="str">
        <f>T("   630900")</f>
        <v xml:space="preserve">   630900</v>
      </c>
      <c r="B9237" t="s">
        <v>278</v>
      </c>
      <c r="C9237">
        <v>11420263</v>
      </c>
      <c r="D9237">
        <v>22000</v>
      </c>
    </row>
    <row r="9238" spans="1:4" x14ac:dyDescent="0.25">
      <c r="A9238" t="str">
        <f>T("   650610")</f>
        <v xml:space="preserve">   650610</v>
      </c>
      <c r="B9238" t="str">
        <f>T("   Coiffures de sécurité, même garnies")</f>
        <v xml:space="preserve">   Coiffures de sécurité, même garnies</v>
      </c>
      <c r="C9238">
        <v>1796740</v>
      </c>
      <c r="D9238">
        <v>272</v>
      </c>
    </row>
    <row r="9239" spans="1:4" x14ac:dyDescent="0.25">
      <c r="A9239" t="str">
        <f>T("   731815")</f>
        <v xml:space="preserve">   731815</v>
      </c>
      <c r="B9239" t="s">
        <v>359</v>
      </c>
      <c r="C9239">
        <v>4140859</v>
      </c>
      <c r="D9239">
        <v>3015</v>
      </c>
    </row>
    <row r="9240" spans="1:4" x14ac:dyDescent="0.25">
      <c r="A9240" t="str">
        <f>T("   732611")</f>
        <v xml:space="preserve">   732611</v>
      </c>
      <c r="B9240" t="str">
        <f>T("   Boulets et simil. pour broyeurs, en fer ou en acier, forgés ou estampés mais non autrement travaillés")</f>
        <v xml:space="preserve">   Boulets et simil. pour broyeurs, en fer ou en acier, forgés ou estampés mais non autrement travaillés</v>
      </c>
      <c r="C9240">
        <v>60686789</v>
      </c>
      <c r="D9240">
        <v>70058</v>
      </c>
    </row>
    <row r="9241" spans="1:4" x14ac:dyDescent="0.25">
      <c r="A9241" t="str">
        <f>T("   840999")</f>
        <v xml:space="preserve">   840999</v>
      </c>
      <c r="B9241"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9241">
        <v>954944</v>
      </c>
      <c r="D9241">
        <v>7</v>
      </c>
    </row>
    <row r="9242" spans="1:4" x14ac:dyDescent="0.25">
      <c r="A9242" t="str">
        <f>T("   841391")</f>
        <v xml:space="preserve">   841391</v>
      </c>
      <c r="B9242" t="str">
        <f>T("   Parties de pompes pour liquides, n.d.a.")</f>
        <v xml:space="preserve">   Parties de pompes pour liquides, n.d.a.</v>
      </c>
      <c r="C9242">
        <v>953143</v>
      </c>
      <c r="D9242">
        <v>1</v>
      </c>
    </row>
    <row r="9243" spans="1:4" x14ac:dyDescent="0.25">
      <c r="A9243" t="str">
        <f>T("   842290")</f>
        <v xml:space="preserve">   842290</v>
      </c>
      <c r="B9243" t="str">
        <f>T("   Parties des machines à laver la vaisselle, des machines à empaqueter ou à emballer les marchandises et autres machines et appareils du n° 8422, n.d.a.")</f>
        <v xml:space="preserve">   Parties des machines à laver la vaisselle, des machines à empaqueter ou à emballer les marchandises et autres machines et appareils du n° 8422, n.d.a.</v>
      </c>
      <c r="C9243">
        <v>1174765</v>
      </c>
      <c r="D9243">
        <v>7</v>
      </c>
    </row>
    <row r="9244" spans="1:4" x14ac:dyDescent="0.25">
      <c r="A9244" t="str">
        <f>T("   843139")</f>
        <v xml:space="preserve">   843139</v>
      </c>
      <c r="B9244" t="str">
        <f>T("   Parties de machines et appareils du n° 8428, n.d.a.")</f>
        <v xml:space="preserve">   Parties de machines et appareils du n° 8428, n.d.a.</v>
      </c>
      <c r="C9244">
        <v>24058147</v>
      </c>
      <c r="D9244">
        <v>1820</v>
      </c>
    </row>
    <row r="9245" spans="1:4" x14ac:dyDescent="0.25">
      <c r="A9245" t="str">
        <f>T("   847130")</f>
        <v xml:space="preserve">   847130</v>
      </c>
      <c r="B9245" t="str">
        <f>T("   Machines automatiques de traitement de l'information numériques, portatives, d'un poids &lt;= 10 kg, comportant au moins une unité centrale de traitement, un clavier et un écran (à l'excl. des unités périphériques)")</f>
        <v xml:space="preserve">   Machines automatiques de traitement de l'information numériques, portatives, d'un poids &lt;= 10 kg, comportant au moins une unité centrale de traitement, un clavier et un écran (à l'excl. des unités périphériques)</v>
      </c>
      <c r="C9245">
        <v>3808013</v>
      </c>
      <c r="D9245">
        <v>37</v>
      </c>
    </row>
    <row r="9246" spans="1:4" x14ac:dyDescent="0.25">
      <c r="A9246" t="str">
        <f>T("   847141")</f>
        <v xml:space="preserve">   847141</v>
      </c>
      <c r="B9246" t="s">
        <v>436</v>
      </c>
      <c r="C9246">
        <v>212006</v>
      </c>
      <c r="D9246">
        <v>10</v>
      </c>
    </row>
    <row r="9247" spans="1:4" x14ac:dyDescent="0.25">
      <c r="A9247" t="str">
        <f>T("   847180")</f>
        <v xml:space="preserve">   847180</v>
      </c>
      <c r="B9247"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9247">
        <v>340089</v>
      </c>
      <c r="D9247">
        <v>1</v>
      </c>
    </row>
    <row r="9248" spans="1:4" x14ac:dyDescent="0.25">
      <c r="A9248" t="str">
        <f>T("   847190")</f>
        <v xml:space="preserve">   847190</v>
      </c>
      <c r="B9248"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9248">
        <v>479350</v>
      </c>
      <c r="D9248">
        <v>13</v>
      </c>
    </row>
    <row r="9249" spans="1:4" x14ac:dyDescent="0.25">
      <c r="A9249" t="str">
        <f>T("   847350")</f>
        <v xml:space="preserve">   847350</v>
      </c>
      <c r="B9249" t="str">
        <f>T("   Parties et accessoires qui peuvent être utilisés indifféremment avec les machines ou appareils de plusieurs du n° 8469 à 8472, n.d.a.")</f>
        <v xml:space="preserve">   Parties et accessoires qui peuvent être utilisés indifféremment avec les machines ou appareils de plusieurs du n° 8469 à 8472, n.d.a.</v>
      </c>
      <c r="C9249">
        <v>75730</v>
      </c>
      <c r="D9249">
        <v>2</v>
      </c>
    </row>
    <row r="9250" spans="1:4" x14ac:dyDescent="0.25">
      <c r="A9250" t="str">
        <f>T("   847490")</f>
        <v xml:space="preserve">   847490</v>
      </c>
      <c r="B9250" t="str">
        <f>T("   Parties des machines et appareils pour le travail des matières minérales du n° 8474, n.d.a.")</f>
        <v xml:space="preserve">   Parties des machines et appareils pour le travail des matières minérales du n° 8474, n.d.a.</v>
      </c>
      <c r="C9250">
        <v>8709968</v>
      </c>
      <c r="D9250">
        <v>245</v>
      </c>
    </row>
    <row r="9251" spans="1:4" x14ac:dyDescent="0.25">
      <c r="A9251" t="str">
        <f>T("   847990")</f>
        <v xml:space="preserve">   847990</v>
      </c>
      <c r="B9251" t="str">
        <f>T("   Parties de machines et appareils, y.c. les appareils mécaniques, n.d.a.")</f>
        <v xml:space="preserve">   Parties de machines et appareils, y.c. les appareils mécaniques, n.d.a.</v>
      </c>
      <c r="C9251">
        <v>25720211</v>
      </c>
      <c r="D9251">
        <v>18728</v>
      </c>
    </row>
    <row r="9252" spans="1:4" x14ac:dyDescent="0.25">
      <c r="A9252" t="str">
        <f>T("   848330")</f>
        <v xml:space="preserve">   848330</v>
      </c>
      <c r="B9252" t="str">
        <f>T("   Paliers pour machines, sans roulements incorporés; coussinets et coquilles de coussinets pour machines")</f>
        <v xml:space="preserve">   Paliers pour machines, sans roulements incorporés; coussinets et coquilles de coussinets pour machines</v>
      </c>
      <c r="C9252">
        <v>12840994</v>
      </c>
      <c r="D9252">
        <v>486</v>
      </c>
    </row>
    <row r="9253" spans="1:4" x14ac:dyDescent="0.25">
      <c r="A9253" t="str">
        <f>T("   848490")</f>
        <v xml:space="preserve">   848490</v>
      </c>
      <c r="B9253" t="str">
        <f>T("   Jeux ou assortiments de joints de composition différente présentés en pochettes, enveloppes ou emballages analogues")</f>
        <v xml:space="preserve">   Jeux ou assortiments de joints de composition différente présentés en pochettes, enveloppes ou emballages analogues</v>
      </c>
      <c r="C9253">
        <v>292821</v>
      </c>
      <c r="D9253">
        <v>1</v>
      </c>
    </row>
    <row r="9254" spans="1:4" x14ac:dyDescent="0.25">
      <c r="A9254" t="str">
        <f>T("   850152")</f>
        <v xml:space="preserve">   850152</v>
      </c>
      <c r="B9254" t="str">
        <f>T("   Moteurs à courant alternatif, polyphasés, puissance &gt; 750 W mais &lt;= 75 kW")</f>
        <v xml:space="preserve">   Moteurs à courant alternatif, polyphasés, puissance &gt; 750 W mais &lt;= 75 kW</v>
      </c>
      <c r="C9254">
        <v>1034783</v>
      </c>
      <c r="D9254">
        <v>3</v>
      </c>
    </row>
    <row r="9255" spans="1:4" x14ac:dyDescent="0.25">
      <c r="A9255" t="str">
        <f>T("   850490")</f>
        <v xml:space="preserve">   850490</v>
      </c>
      <c r="B9255" t="str">
        <f>T("   Parties de transformateurs, de bobines de réactance et selfs n.d.a.")</f>
        <v xml:space="preserve">   Parties de transformateurs, de bobines de réactance et selfs n.d.a.</v>
      </c>
      <c r="C9255">
        <v>947652</v>
      </c>
      <c r="D9255">
        <v>1</v>
      </c>
    </row>
    <row r="9256" spans="1:4" x14ac:dyDescent="0.25">
      <c r="A9256" t="str">
        <f>T("   850519")</f>
        <v xml:space="preserve">   850519</v>
      </c>
      <c r="B9256" t="str">
        <f>T("   Aimants permanents et articles destinés à devenir des aimants permanents après aimantation, autres qu'en métal")</f>
        <v xml:space="preserve">   Aimants permanents et articles destinés à devenir des aimants permanents après aimantation, autres qu'en métal</v>
      </c>
      <c r="C9256">
        <v>4249762</v>
      </c>
      <c r="D9256">
        <v>217</v>
      </c>
    </row>
    <row r="9257" spans="1:4" x14ac:dyDescent="0.25">
      <c r="A9257" t="str">
        <f>T("   850650")</f>
        <v xml:space="preserve">   850650</v>
      </c>
      <c r="B9257" t="str">
        <f>T("   Piles et batteries de piles électriques, au lithium (sauf hors d'usage)")</f>
        <v xml:space="preserve">   Piles et batteries de piles électriques, au lithium (sauf hors d'usage)</v>
      </c>
      <c r="C9257">
        <v>208461</v>
      </c>
      <c r="D9257">
        <v>0.5</v>
      </c>
    </row>
    <row r="9258" spans="1:4" x14ac:dyDescent="0.25">
      <c r="A9258" t="str">
        <f>T("   850680")</f>
        <v xml:space="preserve">   850680</v>
      </c>
      <c r="B9258" t="str">
        <f>T("   Piles et batteries de piles électriques (sauf hors d'usage et autres que piles et batteries à l'oxyde d'argent, de mercure, au bioxyde de manganèse, au lithium et à l'air-zinc)")</f>
        <v xml:space="preserve">   Piles et batteries de piles électriques (sauf hors d'usage et autres que piles et batteries à l'oxyde d'argent, de mercure, au bioxyde de manganèse, au lithium et à l'air-zinc)</v>
      </c>
      <c r="C9258">
        <v>106698</v>
      </c>
      <c r="D9258">
        <v>2</v>
      </c>
    </row>
    <row r="9259" spans="1:4" x14ac:dyDescent="0.25">
      <c r="A9259" t="str">
        <f>T("   851679")</f>
        <v xml:space="preserve">   851679</v>
      </c>
      <c r="B9259" t="s">
        <v>456</v>
      </c>
      <c r="C9259">
        <v>2484121</v>
      </c>
      <c r="D9259">
        <v>4350</v>
      </c>
    </row>
    <row r="9260" spans="1:4" x14ac:dyDescent="0.25">
      <c r="A9260" t="str">
        <f>T("   851780")</f>
        <v xml:space="preserve">   851780</v>
      </c>
      <c r="B9260" t="s">
        <v>458</v>
      </c>
      <c r="C9260">
        <v>16810325</v>
      </c>
      <c r="D9260">
        <v>6527</v>
      </c>
    </row>
    <row r="9261" spans="1:4" x14ac:dyDescent="0.25">
      <c r="A9261" t="str">
        <f>T("   852390")</f>
        <v xml:space="preserve">   852390</v>
      </c>
      <c r="B9261" t="str">
        <f>T("   SUPPORTS PRÉPARÉS POUR L'ENREGISTREMENT DU SON OU POUR ENREGISTREMENTS ANALOGUES, NON-ENREGISTRÉS (AUTRES QUE BANDES ET DISQUES MAGNÉTIQUES, CARTES MUNIES D'UNE PISTE MAGNÉTIQUE ET PRODUITS DU CHAPITRE 37)")</f>
        <v xml:space="preserve">   SUPPORTS PRÉPARÉS POUR L'ENREGISTREMENT DU SON OU POUR ENREGISTREMENTS ANALOGUES, NON-ENREGISTRÉS (AUTRES QUE BANDES ET DISQUES MAGNÉTIQUES, CARTES MUNIES D'UNE PISTE MAGNÉTIQUE ET PRODUITS DU CHAPITRE 37)</v>
      </c>
      <c r="C9261">
        <v>221704</v>
      </c>
      <c r="D9261">
        <v>4</v>
      </c>
    </row>
    <row r="9262" spans="1:4" x14ac:dyDescent="0.25">
      <c r="A9262" t="str">
        <f>T("   853190")</f>
        <v xml:space="preserve">   853190</v>
      </c>
      <c r="B9262" t="str">
        <f>T("   Parties des appareils électriques de signalisation acoustique ou visuelle, n.d.a.")</f>
        <v xml:space="preserve">   Parties des appareils électriques de signalisation acoustique ou visuelle, n.d.a.</v>
      </c>
      <c r="C9262">
        <v>50505</v>
      </c>
      <c r="D9262">
        <v>0.5</v>
      </c>
    </row>
    <row r="9263" spans="1:4" x14ac:dyDescent="0.25">
      <c r="A9263" t="str">
        <f>T("   853620")</f>
        <v xml:space="preserve">   853620</v>
      </c>
      <c r="B9263" t="str">
        <f>T("   Disjoncteurs, pour une tension &lt;= 1.000 V")</f>
        <v xml:space="preserve">   Disjoncteurs, pour une tension &lt;= 1.000 V</v>
      </c>
      <c r="C9263">
        <v>83248</v>
      </c>
      <c r="D9263">
        <v>0.5</v>
      </c>
    </row>
    <row r="9264" spans="1:4" x14ac:dyDescent="0.25">
      <c r="A9264" t="str">
        <f>T("   853710")</f>
        <v xml:space="preserve">   853710</v>
      </c>
      <c r="B9264"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9264">
        <v>3072287</v>
      </c>
      <c r="D9264">
        <v>7</v>
      </c>
    </row>
    <row r="9265" spans="1:4" x14ac:dyDescent="0.25">
      <c r="A9265" t="str">
        <f>T("   854590")</f>
        <v xml:space="preserve">   854590</v>
      </c>
      <c r="B9265" t="str">
        <f>T("   Articles en graphite ou en autre carbone, pour usages électriques (autres qu'électrodes et balais)")</f>
        <v xml:space="preserve">   Articles en graphite ou en autre carbone, pour usages électriques (autres qu'électrodes et balais)</v>
      </c>
      <c r="C9265">
        <v>1327348</v>
      </c>
      <c r="D9265">
        <v>3</v>
      </c>
    </row>
    <row r="9266" spans="1:4" x14ac:dyDescent="0.25">
      <c r="A9266" t="str">
        <f>T("   870120")</f>
        <v xml:space="preserve">   870120</v>
      </c>
      <c r="B9266" t="str">
        <f>T("   Tracteurs routiers pour semi-remorques")</f>
        <v xml:space="preserve">   Tracteurs routiers pour semi-remorques</v>
      </c>
      <c r="C9266">
        <v>79573760</v>
      </c>
      <c r="D9266">
        <v>239880</v>
      </c>
    </row>
    <row r="9267" spans="1:4" x14ac:dyDescent="0.25">
      <c r="A9267" t="str">
        <f>T("   870290")</f>
        <v xml:space="preserve">   870290</v>
      </c>
      <c r="B9267" t="s">
        <v>478</v>
      </c>
      <c r="C9267">
        <v>2918344</v>
      </c>
      <c r="D9267">
        <v>13780</v>
      </c>
    </row>
    <row r="9268" spans="1:4" x14ac:dyDescent="0.25">
      <c r="A9268" t="str">
        <f>T("   870322")</f>
        <v xml:space="preserve">   870322</v>
      </c>
      <c r="B9268" t="s">
        <v>480</v>
      </c>
      <c r="C9268">
        <v>22800000</v>
      </c>
      <c r="D9268">
        <v>24235</v>
      </c>
    </row>
    <row r="9269" spans="1:4" x14ac:dyDescent="0.25">
      <c r="A9269" t="str">
        <f>T("   870323")</f>
        <v xml:space="preserve">   870323</v>
      </c>
      <c r="B9269" t="s">
        <v>481</v>
      </c>
      <c r="C9269">
        <v>1200000</v>
      </c>
      <c r="D9269">
        <v>1500</v>
      </c>
    </row>
    <row r="9270" spans="1:4" x14ac:dyDescent="0.25">
      <c r="A9270" t="str">
        <f>T("   870421")</f>
        <v xml:space="preserve">   870421</v>
      </c>
      <c r="B9270" t="s">
        <v>486</v>
      </c>
      <c r="C9270">
        <v>2400000</v>
      </c>
      <c r="D9270">
        <v>2650</v>
      </c>
    </row>
    <row r="9271" spans="1:4" x14ac:dyDescent="0.25">
      <c r="A9271" t="str">
        <f>T("   870422")</f>
        <v xml:space="preserve">   870422</v>
      </c>
      <c r="B9271" t="s">
        <v>487</v>
      </c>
      <c r="C9271">
        <v>22697835</v>
      </c>
      <c r="D9271">
        <v>107388</v>
      </c>
    </row>
    <row r="9272" spans="1:4" x14ac:dyDescent="0.25">
      <c r="A9272" t="str">
        <f>T("   870431")</f>
        <v xml:space="preserve">   870431</v>
      </c>
      <c r="B9272" t="s">
        <v>489</v>
      </c>
      <c r="C9272">
        <v>2400407</v>
      </c>
      <c r="D9272">
        <v>4500</v>
      </c>
    </row>
    <row r="9273" spans="1:4" x14ac:dyDescent="0.25">
      <c r="A9273" t="str">
        <f>T("   871640")</f>
        <v xml:space="preserve">   871640</v>
      </c>
      <c r="B9273"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9273">
        <v>23429315</v>
      </c>
      <c r="D9273">
        <v>74548</v>
      </c>
    </row>
    <row r="9274" spans="1:4" x14ac:dyDescent="0.25">
      <c r="A9274" t="str">
        <f>T("   902519")</f>
        <v xml:space="preserve">   902519</v>
      </c>
      <c r="B9274" t="str">
        <f>T("   THERMOMÈTRES ET PYROMÈTRES, NON-COMBINÉS À D'AUTRES INSTRUMENTS (À L'EXCL. DES THERMOMÈTRES À LIQUIDE, À LECTURE DIRECTE) [01/01/1988-31/12/1991: THERMOMÈTRES, NON COMBINES A D'AUTRES INSTRUMENTS, (NON REPR. SOUS 9025.11)]")</f>
        <v xml:space="preserve">   THERMOMÈTRES ET PYROMÈTRES, NON-COMBINÉS À D'AUTRES INSTRUMENTS (À L'EXCL. DES THERMOMÈTRES À LIQUIDE, À LECTURE DIRECTE) [01/01/1988-31/12/1991: THERMOMÈTRES, NON COMBINES A D'AUTRES INSTRUMENTS, (NON REPR. SOUS 9025.11)]</v>
      </c>
      <c r="C9274">
        <v>117058</v>
      </c>
      <c r="D9274">
        <v>0.6</v>
      </c>
    </row>
    <row r="9275" spans="1:4" x14ac:dyDescent="0.25">
      <c r="A9275" t="str">
        <f>T("   902610")</f>
        <v xml:space="preserve">   902610</v>
      </c>
      <c r="B9275" t="str">
        <f>T("   Instruments et appareils pour la mesure ou le contrôle du débit ou du niveau des liquides (à l'excl. des compteurs et des instruments et appareils pour la régulation ou le contrôle automatiques)")</f>
        <v xml:space="preserve">   Instruments et appareils pour la mesure ou le contrôle du débit ou du niveau des liquides (à l'excl. des compteurs et des instruments et appareils pour la régulation ou le contrôle automatiques)</v>
      </c>
      <c r="C9275">
        <v>9070405</v>
      </c>
      <c r="D9275">
        <v>25</v>
      </c>
    </row>
    <row r="9276" spans="1:4" x14ac:dyDescent="0.25">
      <c r="A9276" t="str">
        <f>T("   902690")</f>
        <v xml:space="preserve">   902690</v>
      </c>
      <c r="B9276" t="str">
        <f>T("   Parties et accessoires des instruments et appareils pour la mesure ou le contrôle du débit, du niveau, de la pression ou d'autres caractéristiques variables des liquides ou des gaz, n.d.a.")</f>
        <v xml:space="preserve">   Parties et accessoires des instruments et appareils pour la mesure ou le contrôle du débit, du niveau, de la pression ou d'autres caractéristiques variables des liquides ou des gaz, n.d.a.</v>
      </c>
      <c r="C9276">
        <v>1566872</v>
      </c>
      <c r="D9276">
        <v>4</v>
      </c>
    </row>
    <row r="9277" spans="1:4" x14ac:dyDescent="0.25">
      <c r="A9277" t="str">
        <f>T("NR")</f>
        <v>NR</v>
      </c>
      <c r="B9277" t="str">
        <f>T("Nauru")</f>
        <v>Nauru</v>
      </c>
    </row>
    <row r="9278" spans="1:4" x14ac:dyDescent="0.25">
      <c r="A9278" t="str">
        <f>T("   ZZ_Total_Produit_SH6")</f>
        <v xml:space="preserve">   ZZ_Total_Produit_SH6</v>
      </c>
      <c r="B9278" t="str">
        <f>T("   ZZ_Total_Produit_SH6")</f>
        <v xml:space="preserve">   ZZ_Total_Produit_SH6</v>
      </c>
      <c r="C9278">
        <v>1693990</v>
      </c>
      <c r="D9278">
        <v>174.5</v>
      </c>
    </row>
    <row r="9279" spans="1:4" x14ac:dyDescent="0.25">
      <c r="A9279" t="str">
        <f>T("   847190")</f>
        <v xml:space="preserve">   847190</v>
      </c>
      <c r="B9279"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9279">
        <v>1693990</v>
      </c>
      <c r="D9279">
        <v>174.5</v>
      </c>
    </row>
    <row r="9280" spans="1:4" x14ac:dyDescent="0.25">
      <c r="A9280" t="str">
        <f>T("NU")</f>
        <v>NU</v>
      </c>
      <c r="B9280" t="str">
        <f>T("Nioué")</f>
        <v>Nioué</v>
      </c>
    </row>
    <row r="9281" spans="1:4" x14ac:dyDescent="0.25">
      <c r="A9281" t="str">
        <f>T("   ZZ_Total_Produit_SH6")</f>
        <v xml:space="preserve">   ZZ_Total_Produit_SH6</v>
      </c>
      <c r="B9281" t="str">
        <f>T("   ZZ_Total_Produit_SH6")</f>
        <v xml:space="preserve">   ZZ_Total_Produit_SH6</v>
      </c>
      <c r="C9281">
        <v>642188</v>
      </c>
      <c r="D9281">
        <v>280</v>
      </c>
    </row>
    <row r="9282" spans="1:4" x14ac:dyDescent="0.25">
      <c r="A9282" t="str">
        <f>T("   850300")</f>
        <v xml:space="preserve">   850300</v>
      </c>
      <c r="B9282" t="str">
        <f>T("   Parties reconnaissables comme étant exclusivement ou principalement destinées aux moteurs et machines génératrices électriques, groupes électrogènes ou convertisseurs rotatifs électriques n.d.a.")</f>
        <v xml:space="preserve">   Parties reconnaissables comme étant exclusivement ou principalement destinées aux moteurs et machines génératrices électriques, groupes électrogènes ou convertisseurs rotatifs électriques n.d.a.</v>
      </c>
      <c r="C9282">
        <v>642188</v>
      </c>
      <c r="D9282">
        <v>280</v>
      </c>
    </row>
    <row r="9283" spans="1:4" x14ac:dyDescent="0.25">
      <c r="A9283" t="str">
        <f>T("NZ")</f>
        <v>NZ</v>
      </c>
      <c r="B9283" t="str">
        <f>T("Nouvelle-Zélande")</f>
        <v>Nouvelle-Zélande</v>
      </c>
    </row>
    <row r="9284" spans="1:4" x14ac:dyDescent="0.25">
      <c r="A9284" t="str">
        <f>T("   ZZ_Total_Produit_SH6")</f>
        <v xml:space="preserve">   ZZ_Total_Produit_SH6</v>
      </c>
      <c r="B9284" t="str">
        <f>T("   ZZ_Total_Produit_SH6")</f>
        <v xml:space="preserve">   ZZ_Total_Produit_SH6</v>
      </c>
      <c r="C9284">
        <v>30374588</v>
      </c>
      <c r="D9284">
        <v>108000</v>
      </c>
    </row>
    <row r="9285" spans="1:4" x14ac:dyDescent="0.25">
      <c r="A9285" t="str">
        <f>T("   030339")</f>
        <v xml:space="preserve">   030339</v>
      </c>
      <c r="B9285" t="str">
        <f>T("   Poissons plats [pleuronectidés, bothidés, cynoglossidés, soléidés, scophthalmidés et citharidés], congelés (à l'excl. des flétans, des plies ou carrelets et des soles)")</f>
        <v xml:space="preserve">   Poissons plats [pleuronectidés, bothidés, cynoglossidés, soléidés, scophthalmidés et citharidés], congelés (à l'excl. des flétans, des plies ou carrelets et des soles)</v>
      </c>
      <c r="C9285">
        <v>2911150</v>
      </c>
      <c r="D9285">
        <v>16620</v>
      </c>
    </row>
    <row r="9286" spans="1:4" x14ac:dyDescent="0.25">
      <c r="A9286" t="str">
        <f>T("   030379")</f>
        <v xml:space="preserve">   030379</v>
      </c>
      <c r="B9286" t="s">
        <v>17</v>
      </c>
      <c r="C9286">
        <v>14361588</v>
      </c>
      <c r="D9286">
        <v>82000</v>
      </c>
    </row>
    <row r="9287" spans="1:4" x14ac:dyDescent="0.25">
      <c r="A9287" t="str">
        <f>T("   843120")</f>
        <v xml:space="preserve">   843120</v>
      </c>
      <c r="B9287" t="str">
        <f>T("   Parties de chariots-gerbeurs et autres chariots de manutention munis d'un dispositif de levage, n.d.a.")</f>
        <v xml:space="preserve">   Parties de chariots-gerbeurs et autres chariots de manutention munis d'un dispositif de levage, n.d.a.</v>
      </c>
      <c r="C9287">
        <v>10601330</v>
      </c>
      <c r="D9287">
        <v>380</v>
      </c>
    </row>
    <row r="9288" spans="1:4" x14ac:dyDescent="0.25">
      <c r="A9288" t="str">
        <f>T("   940380")</f>
        <v xml:space="preserve">   940380</v>
      </c>
      <c r="B9288" t="str">
        <f>T("   Meubles en rotin, osier, bambou ou autres matières (sauf métal, bois et matières plastiques)")</f>
        <v xml:space="preserve">   Meubles en rotin, osier, bambou ou autres matières (sauf métal, bois et matières plastiques)</v>
      </c>
      <c r="C9288">
        <v>2500520</v>
      </c>
      <c r="D9288">
        <v>9000</v>
      </c>
    </row>
    <row r="9289" spans="1:4" x14ac:dyDescent="0.25">
      <c r="A9289" t="str">
        <f>T("PE")</f>
        <v>PE</v>
      </c>
      <c r="B9289" t="str">
        <f>T("Pérou")</f>
        <v>Pérou</v>
      </c>
    </row>
    <row r="9290" spans="1:4" x14ac:dyDescent="0.25">
      <c r="A9290" t="str">
        <f>T("   ZZ_Total_Produit_SH6")</f>
        <v xml:space="preserve">   ZZ_Total_Produit_SH6</v>
      </c>
      <c r="B9290" t="str">
        <f>T("   ZZ_Total_Produit_SH6")</f>
        <v xml:space="preserve">   ZZ_Total_Produit_SH6</v>
      </c>
      <c r="C9290">
        <v>17793981</v>
      </c>
      <c r="D9290">
        <v>33024.400000000001</v>
      </c>
    </row>
    <row r="9291" spans="1:4" x14ac:dyDescent="0.25">
      <c r="A9291" t="str">
        <f>T("   401120")</f>
        <v xml:space="preserve">   401120</v>
      </c>
      <c r="B9291"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9291">
        <v>1400181</v>
      </c>
      <c r="D9291">
        <v>18859</v>
      </c>
    </row>
    <row r="9292" spans="1:4" x14ac:dyDescent="0.25">
      <c r="A9292" t="str">
        <f>T("   841210")</f>
        <v xml:space="preserve">   841210</v>
      </c>
      <c r="B9292" t="str">
        <f>T("   Propulseurs à réaction autres que les turboréacteurs")</f>
        <v xml:space="preserve">   Propulseurs à réaction autres que les turboréacteurs</v>
      </c>
      <c r="C9292">
        <v>393576</v>
      </c>
      <c r="D9292">
        <v>20.399999999999999</v>
      </c>
    </row>
    <row r="9293" spans="1:4" x14ac:dyDescent="0.25">
      <c r="A9293" t="str">
        <f>T("   842959")</f>
        <v xml:space="preserve">   842959</v>
      </c>
      <c r="B9293"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9293">
        <v>16000224</v>
      </c>
      <c r="D9293">
        <v>14145</v>
      </c>
    </row>
    <row r="9294" spans="1:4" x14ac:dyDescent="0.25">
      <c r="A9294" t="str">
        <f>T("PH")</f>
        <v>PH</v>
      </c>
      <c r="B9294" t="str">
        <f>T("Philippines")</f>
        <v>Philippines</v>
      </c>
    </row>
    <row r="9295" spans="1:4" x14ac:dyDescent="0.25">
      <c r="A9295" t="str">
        <f>T("   ZZ_Total_Produit_SH6")</f>
        <v xml:space="preserve">   ZZ_Total_Produit_SH6</v>
      </c>
      <c r="B9295" t="str">
        <f>T("   ZZ_Total_Produit_SH6")</f>
        <v xml:space="preserve">   ZZ_Total_Produit_SH6</v>
      </c>
      <c r="C9295">
        <v>4917732</v>
      </c>
      <c r="D9295">
        <v>7025</v>
      </c>
    </row>
    <row r="9296" spans="1:4" x14ac:dyDescent="0.25">
      <c r="A9296" t="str">
        <f>T("   630900")</f>
        <v xml:space="preserve">   630900</v>
      </c>
      <c r="B9296" t="s">
        <v>278</v>
      </c>
      <c r="C9296">
        <v>4917732</v>
      </c>
      <c r="D9296">
        <v>7025</v>
      </c>
    </row>
    <row r="9297" spans="1:4" x14ac:dyDescent="0.25">
      <c r="A9297" t="str">
        <f>T("PK")</f>
        <v>PK</v>
      </c>
      <c r="B9297" t="str">
        <f>T("Pakistan")</f>
        <v>Pakistan</v>
      </c>
    </row>
    <row r="9298" spans="1:4" x14ac:dyDescent="0.25">
      <c r="A9298" t="str">
        <f>T("   ZZ_Total_Produit_SH6")</f>
        <v xml:space="preserve">   ZZ_Total_Produit_SH6</v>
      </c>
      <c r="B9298" t="str">
        <f>T("   ZZ_Total_Produit_SH6")</f>
        <v xml:space="preserve">   ZZ_Total_Produit_SH6</v>
      </c>
      <c r="C9298">
        <v>10671631424.745001</v>
      </c>
      <c r="D9298">
        <v>72720034</v>
      </c>
    </row>
    <row r="9299" spans="1:4" x14ac:dyDescent="0.25">
      <c r="A9299" t="str">
        <f>T("   090420")</f>
        <v xml:space="preserve">   090420</v>
      </c>
      <c r="B9299" t="str">
        <f>T("   Piments du genre 'Capsicum' ou du genre 'Pimenta', séchés ou broyés ou pulvérisés")</f>
        <v xml:space="preserve">   Piments du genre 'Capsicum' ou du genre 'Pimenta', séchés ou broyés ou pulvérisés</v>
      </c>
      <c r="C9299">
        <v>64756</v>
      </c>
      <c r="D9299">
        <v>576</v>
      </c>
    </row>
    <row r="9300" spans="1:4" x14ac:dyDescent="0.25">
      <c r="A9300" t="str">
        <f>T("   091010")</f>
        <v xml:space="preserve">   091010</v>
      </c>
      <c r="B9300" t="str">
        <f>T("   Gingembre")</f>
        <v xml:space="preserve">   Gingembre</v>
      </c>
      <c r="C9300">
        <v>29001</v>
      </c>
      <c r="D9300">
        <v>792</v>
      </c>
    </row>
    <row r="9301" spans="1:4" x14ac:dyDescent="0.25">
      <c r="A9301" t="str">
        <f>T("   100610")</f>
        <v xml:space="preserve">   100610</v>
      </c>
      <c r="B9301" t="str">
        <f>T("   Riz en paille [riz paddy]")</f>
        <v xml:space="preserve">   Riz en paille [riz paddy]</v>
      </c>
      <c r="C9301">
        <v>17524605</v>
      </c>
      <c r="D9301">
        <v>350600</v>
      </c>
    </row>
    <row r="9302" spans="1:4" x14ac:dyDescent="0.25">
      <c r="A9302" t="str">
        <f>T("   100620")</f>
        <v xml:space="preserve">   100620</v>
      </c>
      <c r="B9302" t="str">
        <f>T("   Riz décortiqué [riz cargo ou riz brun]")</f>
        <v xml:space="preserve">   Riz décortiqué [riz cargo ou riz brun]</v>
      </c>
      <c r="C9302">
        <v>4587914.017</v>
      </c>
      <c r="D9302">
        <v>25000</v>
      </c>
    </row>
    <row r="9303" spans="1:4" x14ac:dyDescent="0.25">
      <c r="A9303" t="str">
        <f>T("   100630")</f>
        <v xml:space="preserve">   100630</v>
      </c>
      <c r="B9303" t="str">
        <f>T("   Riz semi-blanchi ou blanchi, même poli ou glacé")</f>
        <v xml:space="preserve">   Riz semi-blanchi ou blanchi, même poli ou glacé</v>
      </c>
      <c r="C9303">
        <v>9336764079.7280006</v>
      </c>
      <c r="D9303">
        <v>38237256</v>
      </c>
    </row>
    <row r="9304" spans="1:4" x14ac:dyDescent="0.25">
      <c r="A9304" t="str">
        <f>T("   190190")</f>
        <v xml:space="preserve">   190190</v>
      </c>
      <c r="B9304" t="s">
        <v>49</v>
      </c>
      <c r="C9304">
        <v>128552</v>
      </c>
      <c r="D9304">
        <v>1800</v>
      </c>
    </row>
    <row r="9305" spans="1:4" x14ac:dyDescent="0.25">
      <c r="A9305" t="str">
        <f>T("   210390")</f>
        <v xml:space="preserve">   210390</v>
      </c>
      <c r="B9305"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9305">
        <v>64756</v>
      </c>
      <c r="D9305">
        <v>1080</v>
      </c>
    </row>
    <row r="9306" spans="1:4" x14ac:dyDescent="0.25">
      <c r="A9306" t="str">
        <f>T("   210690")</f>
        <v xml:space="preserve">   210690</v>
      </c>
      <c r="B9306" t="str">
        <f>T("   Préparations alimentaires, n.d.a.")</f>
        <v xml:space="preserve">   Préparations alimentaires, n.d.a.</v>
      </c>
      <c r="C9306">
        <v>93272</v>
      </c>
      <c r="D9306">
        <v>1200</v>
      </c>
    </row>
    <row r="9307" spans="1:4" x14ac:dyDescent="0.25">
      <c r="A9307" t="str">
        <f>T("   252310")</f>
        <v xml:space="preserve">   252310</v>
      </c>
      <c r="B9307" t="str">
        <f>T("   Ciments non pulvérisés dits 'clinkers'")</f>
        <v xml:space="preserve">   Ciments non pulvérisés dits 'clinkers'</v>
      </c>
      <c r="C9307">
        <v>916800000</v>
      </c>
      <c r="D9307">
        <v>30560000</v>
      </c>
    </row>
    <row r="9308" spans="1:4" x14ac:dyDescent="0.25">
      <c r="A9308" t="str">
        <f>T("   252329")</f>
        <v xml:space="preserve">   252329</v>
      </c>
      <c r="B9308" t="str">
        <f>T("   Ciment Portland normal ou modéré (à l'excl. des ciments Portland blancs, même colorés artificiellement)")</f>
        <v xml:space="preserve">   Ciment Portland normal ou modéré (à l'excl. des ciments Portland blancs, même colorés artificiellement)</v>
      </c>
      <c r="C9308">
        <v>103040000</v>
      </c>
      <c r="D9308">
        <v>2800000</v>
      </c>
    </row>
    <row r="9309" spans="1:4" x14ac:dyDescent="0.25">
      <c r="A9309" t="str">
        <f>T("   360500")</f>
        <v xml:space="preserve">   360500</v>
      </c>
      <c r="B9309" t="str">
        <f>T("   Allumettes (autres que les articles de pyrotechnie du n° 3604)")</f>
        <v xml:space="preserve">   Allumettes (autres que les articles de pyrotechnie du n° 3604)</v>
      </c>
      <c r="C9309">
        <v>25953260</v>
      </c>
      <c r="D9309">
        <v>56808</v>
      </c>
    </row>
    <row r="9310" spans="1:4" x14ac:dyDescent="0.25">
      <c r="A9310" t="str">
        <f>T("   401220")</f>
        <v xml:space="preserve">   401220</v>
      </c>
      <c r="B9310" t="str">
        <f>T("   Pneumatiques usagés, en caoutchouc")</f>
        <v xml:space="preserve">   Pneumatiques usagés, en caoutchouc</v>
      </c>
      <c r="C9310">
        <v>9123092</v>
      </c>
      <c r="D9310">
        <v>21960</v>
      </c>
    </row>
    <row r="9311" spans="1:4" x14ac:dyDescent="0.25">
      <c r="A9311" t="str">
        <f>T("   610343")</f>
        <v xml:space="preserve">   610343</v>
      </c>
      <c r="B9311" t="str">
        <f>T("   PANTALONS, Y.C. KNICKERS ET PANTALONS SIMIL., SALOPETTES À BRETELLES, CULOTTES ET SHORTS, EN BONNETERIE, DE FIBRES SYNTHÉTIQUES, POUR HOMMES OU GARÇONNETS (SAUF CALETHONS ET SLIPS DE BAIN)")</f>
        <v xml:space="preserve">   PANTALONS, Y.C. KNICKERS ET PANTALONS SIMIL., SALOPETTES À BRETELLES, CULOTTES ET SHORTS, EN BONNETERIE, DE FIBRES SYNTHÉTIQUES, POUR HOMMES OU GARÇONNETS (SAUF CALETHONS ET SLIPS DE BAIN)</v>
      </c>
      <c r="C9311">
        <v>999924</v>
      </c>
      <c r="D9311">
        <v>650</v>
      </c>
    </row>
    <row r="9312" spans="1:4" x14ac:dyDescent="0.25">
      <c r="A9312" t="str">
        <f>T("   611490")</f>
        <v xml:space="preserve">   611490</v>
      </c>
      <c r="B9312" t="str">
        <f>T("   Vêtements spéciaux destinés à des fins professionnelles, sportives ou autres n.d.a., en bonneterie, de matières textiles (sauf de laine, poils fins, coton, fibres synthétiques ou artificielles)")</f>
        <v xml:space="preserve">   Vêtements spéciaux destinés à des fins professionnelles, sportives ou autres n.d.a., en bonneterie, de matières textiles (sauf de laine, poils fins, coton, fibres synthétiques ou artificielles)</v>
      </c>
      <c r="C9312">
        <v>14515734</v>
      </c>
      <c r="D9312">
        <v>33400</v>
      </c>
    </row>
    <row r="9313" spans="1:4" x14ac:dyDescent="0.25">
      <c r="A9313" t="str">
        <f>T("   620342")</f>
        <v xml:space="preserve">   620342</v>
      </c>
      <c r="B9313" t="str">
        <f>T("   Pantalons, y.c. knickers et pantalons simil., salopettes à bretelles, culottes et shorts, de coton, pour hommes ou garçonnets (autres qu'en bonneterie et sauf slips et caleçons ainsi que maillots, culottes et slips de bain)")</f>
        <v xml:space="preserve">   Pantalons, y.c. knickers et pantalons simil., salopettes à bretelles, culottes et shorts, de coton, pour hommes ou garçonnets (autres qu'en bonneterie et sauf slips et caleçons ainsi que maillots, culottes et slips de bain)</v>
      </c>
      <c r="C9313">
        <v>7257359</v>
      </c>
      <c r="D9313">
        <v>15550</v>
      </c>
    </row>
    <row r="9314" spans="1:4" x14ac:dyDescent="0.25">
      <c r="A9314" t="str">
        <f>T("   620349")</f>
        <v xml:space="preserve">   620349</v>
      </c>
      <c r="B9314" t="s">
        <v>266</v>
      </c>
      <c r="C9314">
        <v>116147233</v>
      </c>
      <c r="D9314">
        <v>231728</v>
      </c>
    </row>
    <row r="9315" spans="1:4" x14ac:dyDescent="0.25">
      <c r="A9315" t="str">
        <f>T("   621040")</f>
        <v xml:space="preserve">   621040</v>
      </c>
      <c r="B9315" t="s">
        <v>271</v>
      </c>
      <c r="C9315">
        <v>7461441</v>
      </c>
      <c r="D9315">
        <v>17892</v>
      </c>
    </row>
    <row r="9316" spans="1:4" x14ac:dyDescent="0.25">
      <c r="A9316" t="str">
        <f>T("   630533")</f>
        <v xml:space="preserve">   630533</v>
      </c>
      <c r="B9316" t="str">
        <f>T("   Sacs et sachets d'emballage obtenus à partir de lames ou formes simil., de polyéthylène ou polypropylène (à l'excl. des contenants souples pour matières en vrac)")</f>
        <v xml:space="preserve">   Sacs et sachets d'emballage obtenus à partir de lames ou formes simil., de polyéthylène ou polypropylène (à l'excl. des contenants souples pour matières en vrac)</v>
      </c>
      <c r="C9316">
        <v>89208</v>
      </c>
      <c r="D9316">
        <v>1170</v>
      </c>
    </row>
    <row r="9317" spans="1:4" x14ac:dyDescent="0.25">
      <c r="A9317" t="str">
        <f>T("   630590")</f>
        <v xml:space="preserve">   630590</v>
      </c>
      <c r="B9317" t="str">
        <f>T("   Sacs et sachets d'emballage de matières textiles (autres qu'en matières textiles synthétiques ou artificielles, coton, jute ou autres fibres textiles libérienne du n° 5303)")</f>
        <v xml:space="preserve">   Sacs et sachets d'emballage de matières textiles (autres qu'en matières textiles synthétiques ou artificielles, coton, jute ou autres fibres textiles libérienne du n° 5303)</v>
      </c>
      <c r="C9317">
        <v>241590</v>
      </c>
      <c r="D9317">
        <v>2300</v>
      </c>
    </row>
    <row r="9318" spans="1:4" x14ac:dyDescent="0.25">
      <c r="A9318" t="str">
        <f>T("   630900")</f>
        <v xml:space="preserve">   630900</v>
      </c>
      <c r="B9318" t="s">
        <v>278</v>
      </c>
      <c r="C9318">
        <v>9800311</v>
      </c>
      <c r="D9318">
        <v>14000</v>
      </c>
    </row>
    <row r="9319" spans="1:4" x14ac:dyDescent="0.25">
      <c r="A9319" t="str">
        <f>T("   722230")</f>
        <v xml:space="preserve">   722230</v>
      </c>
      <c r="B9319" t="str">
        <f>T("   BARRES, EN ACIERS INOXYDABLES, OBTENUES OU PARACHEVÉES À FROID ET AYANT SUBI CERTAINES OUVRAISONS PLUS POUSSÉES OU SIMPL. FORGÉES OU FORGÉES OU AUTREMENT OBTENUES À CHAUD ET AYANT SUBI CERTAINES OUVRAISONS PLUS POUSSÉES, N.D.A.")</f>
        <v xml:space="preserve">   BARRES, EN ACIERS INOXYDABLES, OBTENUES OU PARACHEVÉES À FROID ET AYANT SUBI CERTAINES OUVRAISONS PLUS POUSSÉES OU SIMPL. FORGÉES OU FORGÉES OU AUTREMENT OBTENUES À CHAUD ET AYANT SUBI CERTAINES OUVRAISONS PLUS POUSSÉES, N.D.A.</v>
      </c>
      <c r="C9319">
        <v>94176208</v>
      </c>
      <c r="D9319">
        <v>344720</v>
      </c>
    </row>
    <row r="9320" spans="1:4" x14ac:dyDescent="0.25">
      <c r="A9320" t="str">
        <f>T("   842240")</f>
        <v xml:space="preserve">   842240</v>
      </c>
      <c r="B9320" t="s">
        <v>406</v>
      </c>
      <c r="C9320">
        <v>151805</v>
      </c>
      <c r="D9320">
        <v>602</v>
      </c>
    </row>
    <row r="9321" spans="1:4" x14ac:dyDescent="0.25">
      <c r="A9321" t="str">
        <f>T("   901819")</f>
        <v xml:space="preserve">   901819</v>
      </c>
      <c r="B9321" t="s">
        <v>502</v>
      </c>
      <c r="C9321">
        <v>6617324</v>
      </c>
      <c r="D9321">
        <v>950</v>
      </c>
    </row>
    <row r="9322" spans="1:4" x14ac:dyDescent="0.25">
      <c r="A9322" t="str">
        <f>T("PL")</f>
        <v>PL</v>
      </c>
      <c r="B9322" t="str">
        <f>T("Pologne")</f>
        <v>Pologne</v>
      </c>
    </row>
    <row r="9323" spans="1:4" x14ac:dyDescent="0.25">
      <c r="A9323" t="str">
        <f>T("   ZZ_Total_Produit_SH6")</f>
        <v xml:space="preserve">   ZZ_Total_Produit_SH6</v>
      </c>
      <c r="B9323" t="str">
        <f>T("   ZZ_Total_Produit_SH6")</f>
        <v xml:space="preserve">   ZZ_Total_Produit_SH6</v>
      </c>
      <c r="C9323">
        <v>4769948526</v>
      </c>
      <c r="D9323">
        <v>8288412</v>
      </c>
    </row>
    <row r="9324" spans="1:4" x14ac:dyDescent="0.25">
      <c r="A9324" t="str">
        <f>T("   020712")</f>
        <v xml:space="preserve">   020712</v>
      </c>
      <c r="B9324" t="str">
        <f>T("   COQS ET POULES [DES ESPÈCES DOMESTIQUES], NON-DÉCOUPÉS EN MORCEAUX, CONGELÉS")</f>
        <v xml:space="preserve">   COQS ET POULES [DES ESPÈCES DOMESTIQUES], NON-DÉCOUPÉS EN MORCEAUX, CONGELÉS</v>
      </c>
      <c r="C9324">
        <v>309663632</v>
      </c>
      <c r="D9324">
        <v>516000</v>
      </c>
    </row>
    <row r="9325" spans="1:4" x14ac:dyDescent="0.25">
      <c r="A9325" t="str">
        <f>T("   020714")</f>
        <v xml:space="preserve">   020714</v>
      </c>
      <c r="B9325" t="str">
        <f>T("   Morceaux et abats comestibles de coqs et de poules [des espèces domestiques], congelés")</f>
        <v xml:space="preserve">   Morceaux et abats comestibles de coqs et de poules [des espèces domestiques], congelés</v>
      </c>
      <c r="C9325">
        <v>3594280810</v>
      </c>
      <c r="D9325">
        <v>5830540</v>
      </c>
    </row>
    <row r="9326" spans="1:4" x14ac:dyDescent="0.25">
      <c r="A9326" t="str">
        <f>T("   020727")</f>
        <v xml:space="preserve">   020727</v>
      </c>
      <c r="B9326" t="str">
        <f>T("   Morceaux et abats comestibles de dindes et dindons [des espèces domestiques], congelés")</f>
        <v xml:space="preserve">   Morceaux et abats comestibles de dindes et dindons [des espèces domestiques], congelés</v>
      </c>
      <c r="C9326">
        <v>210272168</v>
      </c>
      <c r="D9326">
        <v>346980</v>
      </c>
    </row>
    <row r="9327" spans="1:4" x14ac:dyDescent="0.25">
      <c r="A9327" t="str">
        <f>T("   220290")</f>
        <v xml:space="preserve">   220290</v>
      </c>
      <c r="B9327" t="str">
        <f>T("   BOISSONS NON-ALCOOLIQUES (À L'EXCL. DES EAUX, DES JUS DE FRUITS OU DE LÉGUMES AINSI QUE DU LAIT)")</f>
        <v xml:space="preserve">   BOISSONS NON-ALCOOLIQUES (À L'EXCL. DES EAUX, DES JUS DE FRUITS OU DE LÉGUMES AINSI QUE DU LAIT)</v>
      </c>
      <c r="C9327">
        <v>41674582</v>
      </c>
      <c r="D9327">
        <v>152391</v>
      </c>
    </row>
    <row r="9328" spans="1:4" x14ac:dyDescent="0.25">
      <c r="A9328" t="str">
        <f>T("   220300")</f>
        <v xml:space="preserve">   220300</v>
      </c>
      <c r="B9328" t="str">
        <f>T("   Bières de malt")</f>
        <v xml:space="preserve">   Bières de malt</v>
      </c>
      <c r="C9328">
        <v>63652810</v>
      </c>
      <c r="D9328">
        <v>215811</v>
      </c>
    </row>
    <row r="9329" spans="1:4" x14ac:dyDescent="0.25">
      <c r="A9329" t="str">
        <f>T("   401220")</f>
        <v xml:space="preserve">   401220</v>
      </c>
      <c r="B9329" t="str">
        <f>T("   Pneumatiques usagés, en caoutchouc")</f>
        <v xml:space="preserve">   Pneumatiques usagés, en caoutchouc</v>
      </c>
      <c r="C9329">
        <v>6951208</v>
      </c>
      <c r="D9329">
        <v>18500</v>
      </c>
    </row>
    <row r="9330" spans="1:4" x14ac:dyDescent="0.25">
      <c r="A9330" t="str">
        <f>T("   401290")</f>
        <v xml:space="preserve">   401290</v>
      </c>
      <c r="B9330" t="str">
        <f>T("   Bandages pleins ou creux [mi-pleins], bandes de roulement amovibles pour pneumatiques et flaps, en caoutchouc")</f>
        <v xml:space="preserve">   Bandages pleins ou creux [mi-pleins], bandes de roulement amovibles pour pneumatiques et flaps, en caoutchouc</v>
      </c>
      <c r="C9330">
        <v>9489117</v>
      </c>
      <c r="D9330">
        <v>21000</v>
      </c>
    </row>
    <row r="9331" spans="1:4" x14ac:dyDescent="0.25">
      <c r="A9331" t="str">
        <f>T("   491110")</f>
        <v xml:space="preserve">   491110</v>
      </c>
      <c r="B9331" t="str">
        <f>T("   Imprimés publicitaires, catalogues commerciaux et simil.")</f>
        <v xml:space="preserve">   Imprimés publicitaires, catalogues commerciaux et simil.</v>
      </c>
      <c r="C9331">
        <v>21962</v>
      </c>
      <c r="D9331">
        <v>1500</v>
      </c>
    </row>
    <row r="9332" spans="1:4" x14ac:dyDescent="0.25">
      <c r="A9332" t="str">
        <f>T("   630900")</f>
        <v xml:space="preserve">   630900</v>
      </c>
      <c r="B9332" t="s">
        <v>278</v>
      </c>
      <c r="C9332">
        <v>398242561</v>
      </c>
      <c r="D9332">
        <v>793138</v>
      </c>
    </row>
    <row r="9333" spans="1:4" x14ac:dyDescent="0.25">
      <c r="A9333" t="str">
        <f>T("   870120")</f>
        <v xml:space="preserve">   870120</v>
      </c>
      <c r="B9333" t="str">
        <f>T("   Tracteurs routiers pour semi-remorques")</f>
        <v xml:space="preserve">   Tracteurs routiers pour semi-remorques</v>
      </c>
      <c r="C9333">
        <v>95162145</v>
      </c>
      <c r="D9333">
        <v>281732</v>
      </c>
    </row>
    <row r="9334" spans="1:4" x14ac:dyDescent="0.25">
      <c r="A9334" t="str">
        <f>T("   870210")</f>
        <v xml:space="preserve">   870210</v>
      </c>
      <c r="B9334" t="s">
        <v>477</v>
      </c>
      <c r="C9334">
        <v>1200000</v>
      </c>
      <c r="D9334">
        <v>2200</v>
      </c>
    </row>
    <row r="9335" spans="1:4" x14ac:dyDescent="0.25">
      <c r="A9335" t="str">
        <f>T("   870290")</f>
        <v xml:space="preserve">   870290</v>
      </c>
      <c r="B9335" t="s">
        <v>478</v>
      </c>
      <c r="C9335">
        <v>1200000</v>
      </c>
      <c r="D9335">
        <v>1250</v>
      </c>
    </row>
    <row r="9336" spans="1:4" x14ac:dyDescent="0.25">
      <c r="A9336" t="str">
        <f>T("   870322")</f>
        <v xml:space="preserve">   870322</v>
      </c>
      <c r="B9336" t="s">
        <v>480</v>
      </c>
      <c r="C9336">
        <v>3600000</v>
      </c>
      <c r="D9336">
        <v>3712</v>
      </c>
    </row>
    <row r="9337" spans="1:4" x14ac:dyDescent="0.25">
      <c r="A9337" t="str">
        <f>T("   870421")</f>
        <v xml:space="preserve">   870421</v>
      </c>
      <c r="B9337" t="s">
        <v>486</v>
      </c>
      <c r="C9337">
        <v>1200000</v>
      </c>
      <c r="D9337">
        <v>950</v>
      </c>
    </row>
    <row r="9338" spans="1:4" x14ac:dyDescent="0.25">
      <c r="A9338" t="str">
        <f>T("   870422")</f>
        <v xml:space="preserve">   870422</v>
      </c>
      <c r="B9338" t="s">
        <v>487</v>
      </c>
      <c r="C9338">
        <v>3416285</v>
      </c>
      <c r="D9338">
        <v>16160</v>
      </c>
    </row>
    <row r="9339" spans="1:4" x14ac:dyDescent="0.25">
      <c r="A9339" t="str">
        <f>T("   871640")</f>
        <v xml:space="preserve">   871640</v>
      </c>
      <c r="B9339"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9339">
        <v>29629344</v>
      </c>
      <c r="D9339">
        <v>86131</v>
      </c>
    </row>
    <row r="9340" spans="1:4" x14ac:dyDescent="0.25">
      <c r="A9340" t="str">
        <f>T("   950390")</f>
        <v xml:space="preserve">   950390</v>
      </c>
      <c r="B9340" t="str">
        <f>T("   Jouets, n.d.a.")</f>
        <v xml:space="preserve">   Jouets, n.d.a.</v>
      </c>
      <c r="C9340">
        <v>291902</v>
      </c>
      <c r="D9340">
        <v>417</v>
      </c>
    </row>
    <row r="9341" spans="1:4" x14ac:dyDescent="0.25">
      <c r="A9341" t="str">
        <f>T("PT")</f>
        <v>PT</v>
      </c>
      <c r="B9341" t="str">
        <f>T("Portugal")</f>
        <v>Portugal</v>
      </c>
    </row>
    <row r="9342" spans="1:4" x14ac:dyDescent="0.25">
      <c r="A9342" t="str">
        <f>T("   ZZ_Total_Produit_SH6")</f>
        <v xml:space="preserve">   ZZ_Total_Produit_SH6</v>
      </c>
      <c r="B9342" t="str">
        <f>T("   ZZ_Total_Produit_SH6")</f>
        <v xml:space="preserve">   ZZ_Total_Produit_SH6</v>
      </c>
      <c r="C9342">
        <v>2198504855</v>
      </c>
      <c r="D9342">
        <v>33212772</v>
      </c>
    </row>
    <row r="9343" spans="1:4" x14ac:dyDescent="0.25">
      <c r="A9343" t="str">
        <f>T("   020727")</f>
        <v xml:space="preserve">   020727</v>
      </c>
      <c r="B9343" t="str">
        <f>T("   Morceaux et abats comestibles de dindes et dindons [des espèces domestiques], congelés")</f>
        <v xml:space="preserve">   Morceaux et abats comestibles de dindes et dindons [des espèces domestiques], congelés</v>
      </c>
      <c r="C9343">
        <v>24582757</v>
      </c>
      <c r="D9343">
        <v>40970</v>
      </c>
    </row>
    <row r="9344" spans="1:4" x14ac:dyDescent="0.25">
      <c r="A9344" t="str">
        <f>T("   200919")</f>
        <v xml:space="preserve">   200919</v>
      </c>
      <c r="B9344" t="str">
        <f>T("   JUS D'ORANGE, NON-FERMENTÉS, SANS ADDITION D'ALCOOL, AVEC OU SANS ADDITION DE SUCRE OU D'AUTRES ÉDULCORANTS (À L'EXCL. DES JUS CONGELÉS ET DES JUS D'UNE VALEUR BRIX &lt;= 20 À 20°C)")</f>
        <v xml:space="preserve">   JUS D'ORANGE, NON-FERMENTÉS, SANS ADDITION D'ALCOOL, AVEC OU SANS ADDITION DE SUCRE OU D'AUTRES ÉDULCORANTS (À L'EXCL. DES JUS CONGELÉS ET DES JUS D'UNE VALEUR BRIX &lt;= 20 À 20°C)</v>
      </c>
      <c r="C9344">
        <v>388801</v>
      </c>
      <c r="D9344">
        <v>1656</v>
      </c>
    </row>
    <row r="9345" spans="1:4" x14ac:dyDescent="0.25">
      <c r="A9345" t="str">
        <f>T("   200949")</f>
        <v xml:space="preserve">   200949</v>
      </c>
      <c r="B9345" t="str">
        <f>T("   JUS D'ANANAS, NON-FERMENTÉS, SANS ADDITION D'ALCOOL, AVEC OU SANS ADDITION DE SUCRE OU D'AUTRES ÉDULCORANTS, D'UNE VALEUR BRIX &gt; 20 À 20°C")</f>
        <v xml:space="preserve">   JUS D'ANANAS, NON-FERMENTÉS, SANS ADDITION D'ALCOOL, AVEC OU SANS ADDITION DE SUCRE OU D'AUTRES ÉDULCORANTS, D'UNE VALEUR BRIX &gt; 20 À 20°C</v>
      </c>
      <c r="C9345">
        <v>726075</v>
      </c>
      <c r="D9345">
        <v>3091</v>
      </c>
    </row>
    <row r="9346" spans="1:4" x14ac:dyDescent="0.25">
      <c r="A9346" t="str">
        <f>T("   200979")</f>
        <v xml:space="preserve">   200979</v>
      </c>
      <c r="B9346" t="str">
        <f>T("   JUS DE POMME, NON-FERMENTÉS, SANS ADDITION D'ALCOOL, AVEC OU SANS ADDITION DE SUCRE OU D'AUTRES ÉDULCORANTS, D'UNE VALEUR BRIX &gt; 20 À 20°C")</f>
        <v xml:space="preserve">   JUS DE POMME, NON-FERMENTÉS, SANS ADDITION D'ALCOOL, AVEC OU SANS ADDITION DE SUCRE OU D'AUTRES ÉDULCORANTS, D'UNE VALEUR BRIX &gt; 20 À 20°C</v>
      </c>
      <c r="C9346">
        <v>435643</v>
      </c>
      <c r="D9346">
        <v>1854</v>
      </c>
    </row>
    <row r="9347" spans="1:4" x14ac:dyDescent="0.25">
      <c r="A9347" t="str">
        <f>T("   200990")</f>
        <v xml:space="preserve">   200990</v>
      </c>
      <c r="B9347"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9347">
        <v>627702</v>
      </c>
      <c r="D9347">
        <v>2669</v>
      </c>
    </row>
    <row r="9348" spans="1:4" x14ac:dyDescent="0.25">
      <c r="A9348" t="str">
        <f>T("   220421")</f>
        <v xml:space="preserve">   220421</v>
      </c>
      <c r="B9348" t="str">
        <f>T("   Vins de raisins frais, y.c. les vins enrichis en alcool (à l'excl. des vins mousseux); moûts de raisins dont la fermentation a été empêchée ou arrêtée par addition d'alcool, en récipients d'une contenance &lt;= 2 l")</f>
        <v xml:space="preserve">   Vins de raisins frais, y.c. les vins enrichis en alcool (à l'excl. des vins mousseux); moûts de raisins dont la fermentation a été empêchée ou arrêtée par addition d'alcool, en récipients d'une contenance &lt;= 2 l</v>
      </c>
      <c r="C9348">
        <v>11504501</v>
      </c>
      <c r="D9348">
        <v>51112</v>
      </c>
    </row>
    <row r="9349" spans="1:4" x14ac:dyDescent="0.25">
      <c r="A9349" t="str">
        <f>T("   220429")</f>
        <v xml:space="preserve">   220429</v>
      </c>
      <c r="B9349" t="str">
        <f>T("   VINS DE RAISINS FRAIS, Y.C. LES VINS ENRICHIS EN ALCOOL, ET MOÛTS DE RAISINS DONT LA FERMENTATION A ÉTÉ EMPÊCHÉE OU ARRÊTÉE PAR ADDITION D'ALCOOL, EN RÉCIPIENTS D'UNE CONTENANCE &gt; 2 L (À L'EXCL. DES VINS MOUSSEUX)")</f>
        <v xml:space="preserve">   VINS DE RAISINS FRAIS, Y.C. LES VINS ENRICHIS EN ALCOOL, ET MOÛTS DE RAISINS DONT LA FERMENTATION A ÉTÉ EMPÊCHÉE OU ARRÊTÉE PAR ADDITION D'ALCOOL, EN RÉCIPIENTS D'UNE CONTENANCE &gt; 2 L (À L'EXCL. DES VINS MOUSSEUX)</v>
      </c>
      <c r="C9349">
        <v>5364441</v>
      </c>
      <c r="D9349">
        <v>20460</v>
      </c>
    </row>
    <row r="9350" spans="1:4" x14ac:dyDescent="0.25">
      <c r="A9350" t="str">
        <f>T("   220510")</f>
        <v xml:space="preserve">   220510</v>
      </c>
      <c r="B9350" t="str">
        <f>T("   Vermouths et autres vins de raisins frais préparés à l'aide de plantes ou de substances aromatiques, en récipients d'une contenance &lt;= 2 l")</f>
        <v xml:space="preserve">   Vermouths et autres vins de raisins frais préparés à l'aide de plantes ou de substances aromatiques, en récipients d'une contenance &lt;= 2 l</v>
      </c>
      <c r="C9350">
        <v>327901</v>
      </c>
      <c r="D9350">
        <v>1396</v>
      </c>
    </row>
    <row r="9351" spans="1:4" x14ac:dyDescent="0.25">
      <c r="A9351" t="str">
        <f>T("   252310")</f>
        <v xml:space="preserve">   252310</v>
      </c>
      <c r="B9351" t="str">
        <f>T("   Ciments non pulvérisés dits 'clinkers'")</f>
        <v xml:space="preserve">   Ciments non pulvérisés dits 'clinkers'</v>
      </c>
      <c r="C9351">
        <v>940855830</v>
      </c>
      <c r="D9351">
        <v>31361861</v>
      </c>
    </row>
    <row r="9352" spans="1:4" x14ac:dyDescent="0.25">
      <c r="A9352" t="str">
        <f>T("   390390")</f>
        <v xml:space="preserve">   390390</v>
      </c>
      <c r="B9352" t="str">
        <f>T("   Polymères du styrène, sous formes primaires (à l'excl. du polystyrène ainsi que des copolymères de styrène-acrylonitrile [SAN] ou d'acrylonitrile-butadiène-styrène [ABS])")</f>
        <v xml:space="preserve">   Polymères du styrène, sous formes primaires (à l'excl. du polystyrène ainsi que des copolymères de styrène-acrylonitrile [SAN] ou d'acrylonitrile-butadiène-styrène [ABS])</v>
      </c>
      <c r="C9352">
        <v>14758444</v>
      </c>
      <c r="D9352">
        <v>15000</v>
      </c>
    </row>
    <row r="9353" spans="1:4" x14ac:dyDescent="0.25">
      <c r="A9353" t="str">
        <f>T("   390750")</f>
        <v xml:space="preserve">   390750</v>
      </c>
      <c r="B9353" t="str">
        <f>T("   Résines alkydes, sous formes primaires")</f>
        <v xml:space="preserve">   Résines alkydes, sous formes primaires</v>
      </c>
      <c r="C9353">
        <v>13327139</v>
      </c>
      <c r="D9353">
        <v>15000</v>
      </c>
    </row>
    <row r="9354" spans="1:4" x14ac:dyDescent="0.25">
      <c r="A9354" t="str">
        <f>T("   392690")</f>
        <v xml:space="preserve">   392690</v>
      </c>
      <c r="B9354" t="str">
        <f>T("   Ouvrages en matières plastiques et ouvrages en autres matières du n° 3901 à 3914, n.d.a.")</f>
        <v xml:space="preserve">   Ouvrages en matières plastiques et ouvrages en autres matières du n° 3901 à 3914, n.d.a.</v>
      </c>
      <c r="C9354">
        <v>2587014</v>
      </c>
      <c r="D9354">
        <v>1121</v>
      </c>
    </row>
    <row r="9355" spans="1:4" x14ac:dyDescent="0.25">
      <c r="A9355" t="str">
        <f>T("   481149")</f>
        <v xml:space="preserve">   481149</v>
      </c>
      <c r="B9355" t="str">
        <f>T("   Papiers et cartons gommés ou adhésifs, coloriés en surface, décorés en surface ou imprimés, en rouleaux ou en feuilles de forme carrée ou rectangulaire, de tout format (à l'excl. des papiers et cartons auto-adhésifs ainsi que des produits du n° 4810)")</f>
        <v xml:space="preserve">   Papiers et cartons gommés ou adhésifs, coloriés en surface, décorés en surface ou imprimés, en rouleaux ou en feuilles de forme carrée ou rectangulaire, de tout format (à l'excl. des papiers et cartons auto-adhésifs ainsi que des produits du n° 4810)</v>
      </c>
      <c r="C9355">
        <v>1502221</v>
      </c>
      <c r="D9355">
        <v>281</v>
      </c>
    </row>
    <row r="9356" spans="1:4" x14ac:dyDescent="0.25">
      <c r="A9356" t="str">
        <f>T("   491110")</f>
        <v xml:space="preserve">   491110</v>
      </c>
      <c r="B9356" t="str">
        <f>T("   Imprimés publicitaires, catalogues commerciaux et simil.")</f>
        <v xml:space="preserve">   Imprimés publicitaires, catalogues commerciaux et simil.</v>
      </c>
      <c r="C9356">
        <v>1052160</v>
      </c>
      <c r="D9356">
        <v>198</v>
      </c>
    </row>
    <row r="9357" spans="1:4" x14ac:dyDescent="0.25">
      <c r="A9357" t="str">
        <f>T("   630900")</f>
        <v xml:space="preserve">   630900</v>
      </c>
      <c r="B9357" t="s">
        <v>278</v>
      </c>
      <c r="C9357">
        <v>32051195</v>
      </c>
      <c r="D9357">
        <v>65495</v>
      </c>
    </row>
    <row r="9358" spans="1:4" x14ac:dyDescent="0.25">
      <c r="A9358" t="str">
        <f>T("   681019")</f>
        <v xml:space="preserve">   681019</v>
      </c>
      <c r="B9358" t="str">
        <f>T("   Tuiles, carreaux, dalles et articles simil., en ciment, en béton ou en pierre artificielle (autres que blocs et briques pour la construction)")</f>
        <v xml:space="preserve">   Tuiles, carreaux, dalles et articles simil., en ciment, en béton ou en pierre artificielle (autres que blocs et briques pour la construction)</v>
      </c>
      <c r="C9358">
        <v>118073</v>
      </c>
      <c r="D9358">
        <v>128</v>
      </c>
    </row>
    <row r="9359" spans="1:4" x14ac:dyDescent="0.25">
      <c r="A9359" t="str">
        <f>T("   690510")</f>
        <v xml:space="preserve">   690510</v>
      </c>
      <c r="B9359" t="str">
        <f>T("   Tuiles")</f>
        <v xml:space="preserve">   Tuiles</v>
      </c>
      <c r="C9359">
        <v>27005197</v>
      </c>
      <c r="D9359">
        <v>344437</v>
      </c>
    </row>
    <row r="9360" spans="1:4" x14ac:dyDescent="0.25">
      <c r="A9360" t="str">
        <f>T("   690590")</f>
        <v xml:space="preserve">   690590</v>
      </c>
      <c r="B9360" t="s">
        <v>308</v>
      </c>
      <c r="C9360">
        <v>1768836</v>
      </c>
      <c r="D9360">
        <v>17649</v>
      </c>
    </row>
    <row r="9361" spans="1:4" x14ac:dyDescent="0.25">
      <c r="A9361" t="str">
        <f>T("   690790")</f>
        <v xml:space="preserve">   690790</v>
      </c>
      <c r="B9361" t="s">
        <v>310</v>
      </c>
      <c r="C9361">
        <v>69811639</v>
      </c>
      <c r="D9361">
        <v>784558</v>
      </c>
    </row>
    <row r="9362" spans="1:4" x14ac:dyDescent="0.25">
      <c r="A9362" t="str">
        <f>T("   690890")</f>
        <v xml:space="preserve">   690890</v>
      </c>
      <c r="B9362" t="s">
        <v>311</v>
      </c>
      <c r="C9362">
        <v>19971495</v>
      </c>
      <c r="D9362">
        <v>283204</v>
      </c>
    </row>
    <row r="9363" spans="1:4" x14ac:dyDescent="0.25">
      <c r="A9363" t="str">
        <f>T("   731100")</f>
        <v xml:space="preserve">   731100</v>
      </c>
      <c r="B9363" t="str">
        <f>T("   Récipients en fonte, fer ou acier, pour gaz comprimés ou liquéfiés (autres que conteneurs spécialement conçus ou équipés pour un ou plusieurs moyens de transport)")</f>
        <v xml:space="preserve">   Récipients en fonte, fer ou acier, pour gaz comprimés ou liquéfiés (autres que conteneurs spécialement conçus ou équipés pour un ou plusieurs moyens de transport)</v>
      </c>
      <c r="C9363">
        <v>160568906</v>
      </c>
      <c r="D9363">
        <v>117012</v>
      </c>
    </row>
    <row r="9364" spans="1:4" x14ac:dyDescent="0.25">
      <c r="A9364" t="str">
        <f>T("   840890")</f>
        <v xml:space="preserve">   840890</v>
      </c>
      <c r="B9364" t="s">
        <v>393</v>
      </c>
      <c r="C9364">
        <v>200000</v>
      </c>
      <c r="D9364">
        <v>800</v>
      </c>
    </row>
    <row r="9365" spans="1:4" x14ac:dyDescent="0.25">
      <c r="A9365" t="str">
        <f>T("   842121")</f>
        <v xml:space="preserve">   842121</v>
      </c>
      <c r="B9365" t="str">
        <f>T("   Appareils pour la filtration ou l'épuration des eaux")</f>
        <v xml:space="preserve">   Appareils pour la filtration ou l'épuration des eaux</v>
      </c>
      <c r="C9365">
        <v>1164985</v>
      </c>
      <c r="D9365">
        <v>9</v>
      </c>
    </row>
    <row r="9366" spans="1:4" x14ac:dyDescent="0.25">
      <c r="A9366" t="str">
        <f>T("   842199")</f>
        <v xml:space="preserve">   842199</v>
      </c>
      <c r="B9366" t="str">
        <f>T("   Parties d'appareils pour la filtration ou l'épuration des liquides ou des gaz, n.d.a.")</f>
        <v xml:space="preserve">   Parties d'appareils pour la filtration ou l'épuration des liquides ou des gaz, n.d.a.</v>
      </c>
      <c r="C9366">
        <v>202692</v>
      </c>
      <c r="D9366">
        <v>2</v>
      </c>
    </row>
    <row r="9367" spans="1:4" x14ac:dyDescent="0.25">
      <c r="A9367" t="str">
        <f>T("   842290")</f>
        <v xml:space="preserve">   842290</v>
      </c>
      <c r="B9367" t="str">
        <f>T("   Parties des machines à laver la vaisselle, des machines à empaqueter ou à emballer les marchandises et autres machines et appareils du n° 8422, n.d.a.")</f>
        <v xml:space="preserve">   Parties des machines à laver la vaisselle, des machines à empaqueter ou à emballer les marchandises et autres machines et appareils du n° 8422, n.d.a.</v>
      </c>
      <c r="C9367">
        <v>215285416</v>
      </c>
      <c r="D9367">
        <v>12430</v>
      </c>
    </row>
    <row r="9368" spans="1:4" x14ac:dyDescent="0.25">
      <c r="A9368" t="str">
        <f>T("   842839")</f>
        <v xml:space="preserve">   842839</v>
      </c>
      <c r="B9368" t="str">
        <f>T("   Appareils élévateurs, transporteurs ou convoyeurs pour marchandises, à action continue (autres que conçus pour mines au fond ou pour autres travaux souterrains, autres qu'à benne, à bande ou à courroie et autres que pneumatiques)")</f>
        <v xml:space="preserve">   Appareils élévateurs, transporteurs ou convoyeurs pour marchandises, à action continue (autres que conçus pour mines au fond ou pour autres travaux souterrains, autres qu'à benne, à bande ou à courroie et autres que pneumatiques)</v>
      </c>
      <c r="C9368">
        <v>1026577</v>
      </c>
      <c r="D9368">
        <v>111</v>
      </c>
    </row>
    <row r="9369" spans="1:4" x14ac:dyDescent="0.25">
      <c r="A9369" t="str">
        <f>T("   843139")</f>
        <v xml:space="preserve">   843139</v>
      </c>
      <c r="B9369" t="str">
        <f>T("   Parties de machines et appareils du n° 8428, n.d.a.")</f>
        <v xml:space="preserve">   Parties de machines et appareils du n° 8428, n.d.a.</v>
      </c>
      <c r="C9369">
        <v>620348881</v>
      </c>
      <c r="D9369">
        <v>38780</v>
      </c>
    </row>
    <row r="9370" spans="1:4" x14ac:dyDescent="0.25">
      <c r="A9370" t="str">
        <f>T("   853610")</f>
        <v xml:space="preserve">   853610</v>
      </c>
      <c r="B9370" t="str">
        <f>T("   Fusibles et coupe-circuit à fusibles, pour une tension &lt;= 1.000 V")</f>
        <v xml:space="preserve">   Fusibles et coupe-circuit à fusibles, pour une tension &lt;= 1.000 V</v>
      </c>
      <c r="C9370">
        <v>733363</v>
      </c>
      <c r="D9370">
        <v>120</v>
      </c>
    </row>
    <row r="9371" spans="1:4" x14ac:dyDescent="0.25">
      <c r="A9371" t="str">
        <f>T("   870120")</f>
        <v xml:space="preserve">   870120</v>
      </c>
      <c r="B9371" t="str">
        <f>T("   Tracteurs routiers pour semi-remorques")</f>
        <v xml:space="preserve">   Tracteurs routiers pour semi-remorques</v>
      </c>
      <c r="C9371">
        <v>19115263</v>
      </c>
      <c r="D9371">
        <v>21000</v>
      </c>
    </row>
    <row r="9372" spans="1:4" x14ac:dyDescent="0.25">
      <c r="A9372" t="str">
        <f>T("   870322")</f>
        <v xml:space="preserve">   870322</v>
      </c>
      <c r="B9372" t="s">
        <v>480</v>
      </c>
      <c r="C9372">
        <v>1200000</v>
      </c>
      <c r="D9372">
        <v>850</v>
      </c>
    </row>
    <row r="9373" spans="1:4" x14ac:dyDescent="0.25">
      <c r="A9373" t="str">
        <f>T("   870421")</f>
        <v xml:space="preserve">   870421</v>
      </c>
      <c r="B9373" t="s">
        <v>486</v>
      </c>
      <c r="C9373">
        <v>3600000</v>
      </c>
      <c r="D9373">
        <v>7450</v>
      </c>
    </row>
    <row r="9374" spans="1:4" x14ac:dyDescent="0.25">
      <c r="A9374" t="str">
        <f>T("   870431")</f>
        <v xml:space="preserve">   870431</v>
      </c>
      <c r="B9374" t="s">
        <v>489</v>
      </c>
      <c r="C9374">
        <v>1200000</v>
      </c>
      <c r="D9374">
        <v>1500</v>
      </c>
    </row>
    <row r="9375" spans="1:4" x14ac:dyDescent="0.25">
      <c r="A9375" t="str">
        <f>T("   950699")</f>
        <v xml:space="preserve">   950699</v>
      </c>
      <c r="B9375" t="str">
        <f>T("   Articles et matériel pour le sport et les jeux de plein air, n.d.a.; piscines et pataugeoires")</f>
        <v xml:space="preserve">   Articles et matériel pour le sport et les jeux de plein air, n.d.a.; piscines et pataugeoires</v>
      </c>
      <c r="C9375">
        <v>5091708</v>
      </c>
      <c r="D9375">
        <v>568</v>
      </c>
    </row>
    <row r="9376" spans="1:4" x14ac:dyDescent="0.25">
      <c r="A9376" t="str">
        <f>T("RE")</f>
        <v>RE</v>
      </c>
      <c r="B9376" t="str">
        <f>T("Réunion")</f>
        <v>Réunion</v>
      </c>
    </row>
    <row r="9377" spans="1:4" x14ac:dyDescent="0.25">
      <c r="A9377" t="str">
        <f>T("   ZZ_Total_Produit_SH6")</f>
        <v xml:space="preserve">   ZZ_Total_Produit_SH6</v>
      </c>
      <c r="B9377" t="str">
        <f>T("   ZZ_Total_Produit_SH6")</f>
        <v xml:space="preserve">   ZZ_Total_Produit_SH6</v>
      </c>
      <c r="C9377">
        <v>5499564</v>
      </c>
      <c r="D9377">
        <v>538</v>
      </c>
    </row>
    <row r="9378" spans="1:4" x14ac:dyDescent="0.25">
      <c r="A9378" t="str">
        <f>T("   842131")</f>
        <v xml:space="preserve">   842131</v>
      </c>
      <c r="B9378" t="str">
        <f>T("   Filtres d'entrée d'air pour moteurs à allumage par étincelles ou par compression")</f>
        <v xml:space="preserve">   Filtres d'entrée d'air pour moteurs à allumage par étincelles ou par compression</v>
      </c>
      <c r="C9378">
        <v>3229291</v>
      </c>
      <c r="D9378">
        <v>170</v>
      </c>
    </row>
    <row r="9379" spans="1:4" x14ac:dyDescent="0.25">
      <c r="A9379" t="str">
        <f>T("   848490")</f>
        <v xml:space="preserve">   848490</v>
      </c>
      <c r="B9379" t="str">
        <f>T("   Jeux ou assortiments de joints de composition différente présentés en pochettes, enveloppes ou emballages analogues")</f>
        <v xml:space="preserve">   Jeux ou assortiments de joints de composition différente présentés en pochettes, enveloppes ou emballages analogues</v>
      </c>
      <c r="C9379">
        <v>1290273</v>
      </c>
      <c r="D9379">
        <v>68</v>
      </c>
    </row>
    <row r="9380" spans="1:4" x14ac:dyDescent="0.25">
      <c r="A9380" t="str">
        <f>T("   870899")</f>
        <v xml:space="preserve">   870899</v>
      </c>
      <c r="B9380"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9380">
        <v>980000</v>
      </c>
      <c r="D9380">
        <v>300</v>
      </c>
    </row>
    <row r="9381" spans="1:4" x14ac:dyDescent="0.25">
      <c r="A9381" t="str">
        <f>T("RO")</f>
        <v>RO</v>
      </c>
      <c r="B9381" t="str">
        <f>T("Roumanie")</f>
        <v>Roumanie</v>
      </c>
    </row>
    <row r="9382" spans="1:4" x14ac:dyDescent="0.25">
      <c r="A9382" t="str">
        <f>T("   ZZ_Total_Produit_SH6")</f>
        <v xml:space="preserve">   ZZ_Total_Produit_SH6</v>
      </c>
      <c r="B9382" t="str">
        <f>T("   ZZ_Total_Produit_SH6")</f>
        <v xml:space="preserve">   ZZ_Total_Produit_SH6</v>
      </c>
      <c r="C9382">
        <v>19007232</v>
      </c>
      <c r="D9382">
        <v>64053</v>
      </c>
    </row>
    <row r="9383" spans="1:4" x14ac:dyDescent="0.25">
      <c r="A9383" t="str">
        <f>T("   190219")</f>
        <v xml:space="preserve">   190219</v>
      </c>
      <c r="B9383" t="str">
        <f>T("   PÂTES ALIMENTAIRES NON-CUITES NI FARCIES NI AUTREMENT PRÉPARÉES, NE CONTENANT PAS D'OEUFS")</f>
        <v xml:space="preserve">   PÂTES ALIMENTAIRES NON-CUITES NI FARCIES NI AUTREMENT PRÉPARÉES, NE CONTENANT PAS D'OEUFS</v>
      </c>
      <c r="C9383">
        <v>7476329</v>
      </c>
      <c r="D9383">
        <v>56925</v>
      </c>
    </row>
    <row r="9384" spans="1:4" x14ac:dyDescent="0.25">
      <c r="A9384" t="str">
        <f>T("   382200")</f>
        <v xml:space="preserve">   382200</v>
      </c>
      <c r="B9384" t="s">
        <v>126</v>
      </c>
      <c r="C9384">
        <v>4446340</v>
      </c>
      <c r="D9384">
        <v>66</v>
      </c>
    </row>
    <row r="9385" spans="1:4" x14ac:dyDescent="0.25">
      <c r="A9385" t="str">
        <f>T("   491000")</f>
        <v xml:space="preserve">   491000</v>
      </c>
      <c r="B9385" t="str">
        <f>T("   Calendriers de tous genres, imprimés, y.c. les blocs de calendriers à effeuiller")</f>
        <v xml:space="preserve">   Calendriers de tous genres, imprimés, y.c. les blocs de calendriers à effeuiller</v>
      </c>
      <c r="C9385">
        <v>5237841</v>
      </c>
      <c r="D9385">
        <v>965</v>
      </c>
    </row>
    <row r="9386" spans="1:4" x14ac:dyDescent="0.25">
      <c r="A9386" t="str">
        <f>T("   851430")</f>
        <v xml:space="preserve">   851430</v>
      </c>
      <c r="B9386" t="str">
        <f>T("   Fours électriques industriels ou de laboratoires (autres que les fours à résistance, à chauffage indirect, les fours fonctionnant par induction ou par perte diélectrique et les étuves)")</f>
        <v xml:space="preserve">   Fours électriques industriels ou de laboratoires (autres que les fours à résistance, à chauffage indirect, les fours fonctionnant par induction ou par perte diélectrique et les étuves)</v>
      </c>
      <c r="C9386">
        <v>429690</v>
      </c>
      <c r="D9386">
        <v>97</v>
      </c>
    </row>
    <row r="9387" spans="1:4" x14ac:dyDescent="0.25">
      <c r="A9387" t="str">
        <f>T("   870120")</f>
        <v xml:space="preserve">   870120</v>
      </c>
      <c r="B9387" t="str">
        <f>T("   Tracteurs routiers pour semi-remorques")</f>
        <v xml:space="preserve">   Tracteurs routiers pour semi-remorques</v>
      </c>
      <c r="C9387">
        <v>1417032</v>
      </c>
      <c r="D9387">
        <v>6000</v>
      </c>
    </row>
    <row r="9388" spans="1:4" x14ac:dyDescent="0.25">
      <c r="A9388" t="str">
        <f>T("RU")</f>
        <v>RU</v>
      </c>
      <c r="B9388" t="str">
        <f>T("Russie, Fédération de")</f>
        <v>Russie, Fédération de</v>
      </c>
    </row>
    <row r="9389" spans="1:4" x14ac:dyDescent="0.25">
      <c r="A9389" t="str">
        <f>T("   ZZ_Total_Produit_SH6")</f>
        <v xml:space="preserve">   ZZ_Total_Produit_SH6</v>
      </c>
      <c r="B9389" t="str">
        <f>T("   ZZ_Total_Produit_SH6")</f>
        <v xml:space="preserve">   ZZ_Total_Produit_SH6</v>
      </c>
      <c r="C9389">
        <v>190521350</v>
      </c>
      <c r="D9389">
        <v>324524</v>
      </c>
    </row>
    <row r="9390" spans="1:4" x14ac:dyDescent="0.25">
      <c r="A9390" t="str">
        <f>T("   271011")</f>
        <v xml:space="preserve">   271011</v>
      </c>
      <c r="B9390"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9390">
        <v>70985005</v>
      </c>
      <c r="D9390">
        <v>210234</v>
      </c>
    </row>
    <row r="9391" spans="1:4" x14ac:dyDescent="0.25">
      <c r="A9391" t="str">
        <f>T("   271019")</f>
        <v xml:space="preserve">   271019</v>
      </c>
      <c r="B9391" t="str">
        <f>T("   Huiles moyennes et préparations, de pétrole ou de minéraux bitumineux, n.d.a.")</f>
        <v xml:space="preserve">   Huiles moyennes et préparations, de pétrole ou de minéraux bitumineux, n.d.a.</v>
      </c>
      <c r="C9391">
        <v>22068480</v>
      </c>
      <c r="D9391">
        <v>59200</v>
      </c>
    </row>
    <row r="9392" spans="1:4" x14ac:dyDescent="0.25">
      <c r="A9392" t="str">
        <f>T("   300490")</f>
        <v xml:space="preserve">   300490</v>
      </c>
      <c r="B9392" t="s">
        <v>80</v>
      </c>
      <c r="C9392">
        <v>19065245</v>
      </c>
      <c r="D9392">
        <v>532</v>
      </c>
    </row>
    <row r="9393" spans="1:4" x14ac:dyDescent="0.25">
      <c r="A9393" t="str">
        <f>T("   620590")</f>
        <v xml:space="preserve">   620590</v>
      </c>
      <c r="B9393"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9393">
        <v>1600000</v>
      </c>
      <c r="D9393">
        <v>2200</v>
      </c>
    </row>
    <row r="9394" spans="1:4" x14ac:dyDescent="0.25">
      <c r="A9394" t="str">
        <f>T("   731822")</f>
        <v xml:space="preserve">   731822</v>
      </c>
      <c r="B9394" t="str">
        <f>T("   Rondelles en fonte, fer ou acier (sauf rondelles destinées à faire ressort et autres rondelles de blocage)")</f>
        <v xml:space="preserve">   Rondelles en fonte, fer ou acier (sauf rondelles destinées à faire ressort et autres rondelles de blocage)</v>
      </c>
      <c r="C9394">
        <v>570029</v>
      </c>
      <c r="D9394">
        <v>16</v>
      </c>
    </row>
    <row r="9395" spans="1:4" x14ac:dyDescent="0.25">
      <c r="A9395" t="str">
        <f>T("   732394")</f>
        <v xml:space="preserve">   732394</v>
      </c>
      <c r="B9395" t="s">
        <v>367</v>
      </c>
      <c r="C9395">
        <v>1400000</v>
      </c>
      <c r="D9395">
        <v>2800</v>
      </c>
    </row>
    <row r="9396" spans="1:4" x14ac:dyDescent="0.25">
      <c r="A9396" t="str">
        <f>T("   842920")</f>
        <v xml:space="preserve">   842920</v>
      </c>
      <c r="B9396" t="str">
        <f>T("   Niveleuses autopropulsées")</f>
        <v xml:space="preserve">   Niveleuses autopropulsées</v>
      </c>
      <c r="C9396">
        <v>70334220</v>
      </c>
      <c r="D9396">
        <v>45315</v>
      </c>
    </row>
    <row r="9397" spans="1:4" x14ac:dyDescent="0.25">
      <c r="A9397" t="str">
        <f>T("   843149")</f>
        <v xml:space="preserve">   843149</v>
      </c>
      <c r="B9397" t="str">
        <f>T("   Parties de machines et appareils du n° 8426, 8429 ou 8430, n.d.a.")</f>
        <v xml:space="preserve">   Parties de machines et appareils du n° 8426, 8429 ou 8430, n.d.a.</v>
      </c>
      <c r="C9397">
        <v>984596</v>
      </c>
      <c r="D9397">
        <v>26</v>
      </c>
    </row>
    <row r="9398" spans="1:4" x14ac:dyDescent="0.25">
      <c r="A9398" t="str">
        <f>T("   853650")</f>
        <v xml:space="preserve">   853650</v>
      </c>
      <c r="B9398" t="str">
        <f>T("   Interrupteurs, sectionneurs et commutateurs, pour une tension &lt;= 1.000 V (autres que relais et disjoncteurs)")</f>
        <v xml:space="preserve">   Interrupteurs, sectionneurs et commutateurs, pour une tension &lt;= 1.000 V (autres que relais et disjoncteurs)</v>
      </c>
      <c r="C9398">
        <v>13775</v>
      </c>
      <c r="D9398">
        <v>1</v>
      </c>
    </row>
    <row r="9399" spans="1:4" x14ac:dyDescent="0.25">
      <c r="A9399" t="str">
        <f>T("   940350")</f>
        <v xml:space="preserve">   940350</v>
      </c>
      <c r="B9399" t="str">
        <f>T("   Meubles pour chambres à coucher, en bois (sauf sièges)")</f>
        <v xml:space="preserve">   Meubles pour chambres à coucher, en bois (sauf sièges)</v>
      </c>
      <c r="C9399">
        <v>3500000</v>
      </c>
      <c r="D9399">
        <v>4200</v>
      </c>
    </row>
    <row r="9400" spans="1:4" x14ac:dyDescent="0.25">
      <c r="A9400" t="str">
        <f>T("RW")</f>
        <v>RW</v>
      </c>
      <c r="B9400" t="str">
        <f>T("Rwanda")</f>
        <v>Rwanda</v>
      </c>
    </row>
    <row r="9401" spans="1:4" x14ac:dyDescent="0.25">
      <c r="A9401" t="str">
        <f>T("   ZZ_Total_Produit_SH6")</f>
        <v xml:space="preserve">   ZZ_Total_Produit_SH6</v>
      </c>
      <c r="B9401" t="str">
        <f>T("   ZZ_Total_Produit_SH6")</f>
        <v xml:space="preserve">   ZZ_Total_Produit_SH6</v>
      </c>
      <c r="C9401">
        <v>2934650</v>
      </c>
      <c r="D9401">
        <v>2231</v>
      </c>
    </row>
    <row r="9402" spans="1:4" x14ac:dyDescent="0.25">
      <c r="A9402" t="str">
        <f>T("   490199")</f>
        <v xml:space="preserve">   490199</v>
      </c>
      <c r="B9402"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9402">
        <v>172230</v>
      </c>
      <c r="D9402">
        <v>148</v>
      </c>
    </row>
    <row r="9403" spans="1:4" x14ac:dyDescent="0.25">
      <c r="A9403" t="str">
        <f>T("   621040")</f>
        <v xml:space="preserve">   621040</v>
      </c>
      <c r="B9403" t="s">
        <v>271</v>
      </c>
      <c r="C9403">
        <v>638250</v>
      </c>
      <c r="D9403">
        <v>255</v>
      </c>
    </row>
    <row r="9404" spans="1:4" x14ac:dyDescent="0.25">
      <c r="A9404" t="str">
        <f>T("   621050")</f>
        <v xml:space="preserve">   621050</v>
      </c>
      <c r="B9404" t="s">
        <v>272</v>
      </c>
      <c r="C9404">
        <v>574100</v>
      </c>
      <c r="D9404">
        <v>494</v>
      </c>
    </row>
    <row r="9405" spans="1:4" x14ac:dyDescent="0.25">
      <c r="A9405" t="str">
        <f>T("   732394")</f>
        <v xml:space="preserve">   732394</v>
      </c>
      <c r="B9405" t="s">
        <v>367</v>
      </c>
      <c r="C9405">
        <v>803740</v>
      </c>
      <c r="D9405">
        <v>692</v>
      </c>
    </row>
    <row r="9406" spans="1:4" x14ac:dyDescent="0.25">
      <c r="A9406" t="str">
        <f>T("   850980")</f>
        <v xml:space="preserve">   850980</v>
      </c>
      <c r="B9406" t="s">
        <v>452</v>
      </c>
      <c r="C9406">
        <v>229640</v>
      </c>
      <c r="D9406">
        <v>198</v>
      </c>
    </row>
    <row r="9407" spans="1:4" x14ac:dyDescent="0.25">
      <c r="A9407" t="str">
        <f>T("   852090")</f>
        <v xml:space="preserve">   852090</v>
      </c>
      <c r="B9407" t="str">
        <f>T("   Appareils d'enregistrement du son, incorporant également un dispositif de reproduction du son (autres qu'appareils d'enregistrement et de reproduction du son utilisant des bandes magnétiques sur bobines)")</f>
        <v xml:space="preserve">   Appareils d'enregistrement du son, incorporant également un dispositif de reproduction du son (autres qu'appareils d'enregistrement et de reproduction du son utilisant des bandes magnétiques sur bobines)</v>
      </c>
      <c r="C9407">
        <v>172230</v>
      </c>
      <c r="D9407">
        <v>148</v>
      </c>
    </row>
    <row r="9408" spans="1:4" x14ac:dyDescent="0.25">
      <c r="A9408" t="str">
        <f>T("   970110")</f>
        <v xml:space="preserve">   970110</v>
      </c>
      <c r="B9408" t="str">
        <f>T("   Tableaux, p.ex. peintures à l'huile, aquarelles et pastels, et dessins, faits entièrement à la main (à l'excl. des dessins du n° 4906 et des articles manufacturés décorés à la main)")</f>
        <v xml:space="preserve">   Tableaux, p.ex. peintures à l'huile, aquarelles et pastels, et dessins, faits entièrement à la main (à l'excl. des dessins du n° 4906 et des articles manufacturés décorés à la main)</v>
      </c>
      <c r="C9408">
        <v>344460</v>
      </c>
      <c r="D9408">
        <v>296</v>
      </c>
    </row>
    <row r="9409" spans="1:4" x14ac:dyDescent="0.25">
      <c r="A9409" t="str">
        <f>T("SA")</f>
        <v>SA</v>
      </c>
      <c r="B9409" t="str">
        <f>T("Arabie Saoudite")</f>
        <v>Arabie Saoudite</v>
      </c>
    </row>
    <row r="9410" spans="1:4" x14ac:dyDescent="0.25">
      <c r="A9410" t="str">
        <f>T("   ZZ_Total_Produit_SH6")</f>
        <v xml:space="preserve">   ZZ_Total_Produit_SH6</v>
      </c>
      <c r="B9410" t="str">
        <f>T("   ZZ_Total_Produit_SH6")</f>
        <v xml:space="preserve">   ZZ_Total_Produit_SH6</v>
      </c>
      <c r="C9410">
        <v>4308845720</v>
      </c>
      <c r="D9410">
        <v>11576266</v>
      </c>
    </row>
    <row r="9411" spans="1:4" x14ac:dyDescent="0.25">
      <c r="A9411" t="str">
        <f>T("   020712")</f>
        <v xml:space="preserve">   020712</v>
      </c>
      <c r="B9411" t="str">
        <f>T("   COQS ET POULES [DES ESPÈCES DOMESTIQUES], NON-DÉCOUPÉS EN MORCEAUX, CONGELÉS")</f>
        <v xml:space="preserve">   COQS ET POULES [DES ESPÈCES DOMESTIQUES], NON-DÉCOUPÉS EN MORCEAUX, CONGELÉS</v>
      </c>
      <c r="C9411">
        <v>16208570</v>
      </c>
      <c r="D9411">
        <v>26996</v>
      </c>
    </row>
    <row r="9412" spans="1:4" x14ac:dyDescent="0.25">
      <c r="A9412" t="str">
        <f>T("   220290")</f>
        <v xml:space="preserve">   220290</v>
      </c>
      <c r="B9412" t="str">
        <f>T("   BOISSONS NON-ALCOOLIQUES (À L'EXCL. DES EAUX, DES JUS DE FRUITS OU DE LÉGUMES AINSI QUE DU LAIT)")</f>
        <v xml:space="preserve">   BOISSONS NON-ALCOOLIQUES (À L'EXCL. DES EAUX, DES JUS DE FRUITS OU DE LÉGUMES AINSI QUE DU LAIT)</v>
      </c>
      <c r="C9412">
        <v>2965000</v>
      </c>
      <c r="D9412">
        <v>15000</v>
      </c>
    </row>
    <row r="9413" spans="1:4" x14ac:dyDescent="0.25">
      <c r="A9413" t="str">
        <f>T("   271011")</f>
        <v xml:space="preserve">   271011</v>
      </c>
      <c r="B9413"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9413">
        <v>43392907</v>
      </c>
      <c r="D9413">
        <v>117635</v>
      </c>
    </row>
    <row r="9414" spans="1:4" x14ac:dyDescent="0.25">
      <c r="A9414" t="str">
        <f>T("   271019")</f>
        <v xml:space="preserve">   271019</v>
      </c>
      <c r="B9414" t="str">
        <f>T("   Huiles moyennes et préparations, de pétrole ou de minéraux bitumineux, n.d.a.")</f>
        <v xml:space="preserve">   Huiles moyennes et préparations, de pétrole ou de minéraux bitumineux, n.d.a.</v>
      </c>
      <c r="C9414">
        <v>3694796929</v>
      </c>
      <c r="D9414">
        <v>11117480</v>
      </c>
    </row>
    <row r="9415" spans="1:4" x14ac:dyDescent="0.25">
      <c r="A9415" t="str">
        <f>T("   392490")</f>
        <v xml:space="preserve">   392490</v>
      </c>
      <c r="B9415" t="s">
        <v>151</v>
      </c>
      <c r="C9415">
        <v>8887503</v>
      </c>
      <c r="D9415">
        <v>46000</v>
      </c>
    </row>
    <row r="9416" spans="1:4" x14ac:dyDescent="0.25">
      <c r="A9416" t="str">
        <f>T("   490199")</f>
        <v xml:space="preserve">   490199</v>
      </c>
      <c r="B9416"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9416">
        <v>4040088</v>
      </c>
      <c r="D9416">
        <v>14000</v>
      </c>
    </row>
    <row r="9417" spans="1:4" x14ac:dyDescent="0.25">
      <c r="A9417" t="str">
        <f>T("   610910")</f>
        <v xml:space="preserve">   610910</v>
      </c>
      <c r="B9417" t="str">
        <f>T("   T-shirts et maillots de corps, en bonneterie, de coton,")</f>
        <v xml:space="preserve">   T-shirts et maillots de corps, en bonneterie, de coton,</v>
      </c>
      <c r="C9417">
        <v>1030253</v>
      </c>
      <c r="D9417">
        <v>31</v>
      </c>
    </row>
    <row r="9418" spans="1:4" x14ac:dyDescent="0.25">
      <c r="A9418" t="str">
        <f>T("   620590")</f>
        <v xml:space="preserve">   620590</v>
      </c>
      <c r="B9418"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9418">
        <v>1600000</v>
      </c>
      <c r="D9418">
        <v>2607</v>
      </c>
    </row>
    <row r="9419" spans="1:4" x14ac:dyDescent="0.25">
      <c r="A9419" t="str">
        <f>T("   621040")</f>
        <v xml:space="preserve">   621040</v>
      </c>
      <c r="B9419" t="s">
        <v>271</v>
      </c>
      <c r="C9419">
        <v>3500000</v>
      </c>
      <c r="D9419">
        <v>10000</v>
      </c>
    </row>
    <row r="9420" spans="1:4" x14ac:dyDescent="0.25">
      <c r="A9420" t="str">
        <f>T("   630319")</f>
        <v xml:space="preserve">   630319</v>
      </c>
      <c r="B9420" t="str">
        <f>T("   Vitrages, rideaux et stores d'intérieur ainsi que cantonnières et tours de lit, en bonneterie (autres que de coton et fibres synthétiques et autres que stores d'extérieur)")</f>
        <v xml:space="preserve">   Vitrages, rideaux et stores d'intérieur ainsi que cantonnières et tours de lit, en bonneterie (autres que de coton et fibres synthétiques et autres que stores d'extérieur)</v>
      </c>
      <c r="C9420">
        <v>979361</v>
      </c>
      <c r="D9420">
        <v>3300</v>
      </c>
    </row>
    <row r="9421" spans="1:4" x14ac:dyDescent="0.25">
      <c r="A9421" t="str">
        <f>T("   630900")</f>
        <v xml:space="preserve">   630900</v>
      </c>
      <c r="B9421" t="s">
        <v>278</v>
      </c>
      <c r="C9421">
        <v>4900396</v>
      </c>
      <c r="D9421">
        <v>7000</v>
      </c>
    </row>
    <row r="9422" spans="1:4" x14ac:dyDescent="0.25">
      <c r="A9422" t="str">
        <f>T("   700490")</f>
        <v xml:space="preserve">   700490</v>
      </c>
      <c r="B9422" t="str">
        <f>T("   FEUILLES EN VERRE ÉTIRÉ OU SOUFFLÉ MAIS NON AUTREMENT TRAVAILLÉ (AUTRES QU'EN VERRE COLORÉ DANS LA MASSE, OPACIFIÉ, PLAQUÉ [DOUBLÉ], OU À COUCHE ABSORBANTE, RÉFLÉCHISSANTE OU NON-RÉFLÉCHISSANTE)")</f>
        <v xml:space="preserve">   FEUILLES EN VERRE ÉTIRÉ OU SOUFFLÉ MAIS NON AUTREMENT TRAVAILLÉ (AUTRES QU'EN VERRE COLORÉ DANS LA MASSE, OPACIFIÉ, PLAQUÉ [DOUBLÉ], OU À COUCHE ABSORBANTE, RÉFLÉCHISSANTE OU NON-RÉFLÉCHISSANTE)</v>
      </c>
      <c r="C9422">
        <v>3541438</v>
      </c>
      <c r="D9422">
        <v>7000</v>
      </c>
    </row>
    <row r="9423" spans="1:4" x14ac:dyDescent="0.25">
      <c r="A9423" t="str">
        <f>T("   730890")</f>
        <v xml:space="preserve">   730890</v>
      </c>
      <c r="B9423" t="s">
        <v>355</v>
      </c>
      <c r="C9423">
        <v>190637616</v>
      </c>
      <c r="D9423">
        <v>180758</v>
      </c>
    </row>
    <row r="9424" spans="1:4" x14ac:dyDescent="0.25">
      <c r="A9424" t="str">
        <f>T("   732394")</f>
        <v xml:space="preserve">   732394</v>
      </c>
      <c r="B9424" t="s">
        <v>367</v>
      </c>
      <c r="C9424">
        <v>1400000</v>
      </c>
      <c r="D9424">
        <v>4900</v>
      </c>
    </row>
    <row r="9425" spans="1:4" x14ac:dyDescent="0.25">
      <c r="A9425" t="str">
        <f>T("   760429")</f>
        <v xml:space="preserve">   760429</v>
      </c>
      <c r="B9425" t="str">
        <f>T("   Barres et profilés pleins en alliages d'aluminium, n.d.a.")</f>
        <v xml:space="preserve">   Barres et profilés pleins en alliages d'aluminium, n.d.a.</v>
      </c>
      <c r="C9425">
        <v>2841107</v>
      </c>
      <c r="D9425">
        <v>6200</v>
      </c>
    </row>
    <row r="9426" spans="1:4" x14ac:dyDescent="0.25">
      <c r="A9426" t="str">
        <f>T("   830220")</f>
        <v xml:space="preserve">   830220</v>
      </c>
      <c r="B9426" t="str">
        <f>T("   Roulettes avec monture en métaux communs")</f>
        <v xml:space="preserve">   Roulettes avec monture en métaux communs</v>
      </c>
      <c r="C9426">
        <v>125944</v>
      </c>
      <c r="D9426">
        <v>4</v>
      </c>
    </row>
    <row r="9427" spans="1:4" x14ac:dyDescent="0.25">
      <c r="A9427" t="str">
        <f>T("   841381")</f>
        <v xml:space="preserve">   841381</v>
      </c>
      <c r="B9427" t="s">
        <v>397</v>
      </c>
      <c r="C9427">
        <v>1482470</v>
      </c>
      <c r="D9427">
        <v>43</v>
      </c>
    </row>
    <row r="9428" spans="1:4" x14ac:dyDescent="0.25">
      <c r="A9428" t="str">
        <f>T("   841440")</f>
        <v xml:space="preserve">   841440</v>
      </c>
      <c r="B9428" t="str">
        <f>T("   Compresseurs d'air montés sur châssis à roues et remorquables")</f>
        <v xml:space="preserve">   Compresseurs d'air montés sur châssis à roues et remorquables</v>
      </c>
      <c r="C9428">
        <v>320108</v>
      </c>
      <c r="D9428">
        <v>6</v>
      </c>
    </row>
    <row r="9429" spans="1:4" x14ac:dyDescent="0.25">
      <c r="A9429" t="str">
        <f>T("   841810")</f>
        <v xml:space="preserve">   841810</v>
      </c>
      <c r="B9429" t="str">
        <f>T("   Réfrigérateurs et congélateurs-conservateurs combinés, avec portes extérieures séparées")</f>
        <v xml:space="preserve">   Réfrigérateurs et congélateurs-conservateurs combinés, avec portes extérieures séparées</v>
      </c>
      <c r="C9429">
        <v>1246757</v>
      </c>
      <c r="D9429">
        <v>400</v>
      </c>
    </row>
    <row r="9430" spans="1:4" x14ac:dyDescent="0.25">
      <c r="A9430" t="str">
        <f>T("   847180")</f>
        <v xml:space="preserve">   847180</v>
      </c>
      <c r="B9430"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9430">
        <v>3292475</v>
      </c>
      <c r="D9430">
        <v>50</v>
      </c>
    </row>
    <row r="9431" spans="1:4" x14ac:dyDescent="0.25">
      <c r="A9431" t="str">
        <f>T("   847190")</f>
        <v xml:space="preserve">   847190</v>
      </c>
      <c r="B9431"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9431">
        <v>11051573</v>
      </c>
      <c r="D9431">
        <v>95</v>
      </c>
    </row>
    <row r="9432" spans="1:4" x14ac:dyDescent="0.25">
      <c r="A9432" t="str">
        <f>T("   851719")</f>
        <v xml:space="preserve">   851719</v>
      </c>
      <c r="B9432" t="str">
        <f>T("   Postes téléphoniques d'usagers pour la téléphonie par fil; visiophones (sauf postes téléphoniques d'usagers par fil à combinés sans fil et parlophones)")</f>
        <v xml:space="preserve">   Postes téléphoniques d'usagers pour la téléphonie par fil; visiophones (sauf postes téléphoniques d'usagers par fil à combinés sans fil et parlophones)</v>
      </c>
      <c r="C9432">
        <v>31123012</v>
      </c>
      <c r="D9432">
        <v>660</v>
      </c>
    </row>
    <row r="9433" spans="1:4" x14ac:dyDescent="0.25">
      <c r="A9433" t="str">
        <f>T("   851780")</f>
        <v xml:space="preserve">   851780</v>
      </c>
      <c r="B9433" t="s">
        <v>458</v>
      </c>
      <c r="C9433">
        <v>221401840</v>
      </c>
      <c r="D9433">
        <v>645</v>
      </c>
    </row>
    <row r="9434" spans="1:4" x14ac:dyDescent="0.25">
      <c r="A9434" t="str">
        <f>T("   852729")</f>
        <v xml:space="preserve">   852729</v>
      </c>
      <c r="B9434" t="s">
        <v>466</v>
      </c>
      <c r="C9434">
        <v>2584482</v>
      </c>
      <c r="D9434">
        <v>117</v>
      </c>
    </row>
    <row r="9435" spans="1:4" x14ac:dyDescent="0.25">
      <c r="A9435" t="str">
        <f>T("   852790")</f>
        <v xml:space="preserve">   852790</v>
      </c>
      <c r="B9435" t="str">
        <f>T("   Récepteurs pour la radiotéléphonie, la radiotélégraphie ou la radiodiffusion commerciale")</f>
        <v xml:space="preserve">   Récepteurs pour la radiotéléphonie, la radiotélégraphie ou la radiodiffusion commerciale</v>
      </c>
      <c r="C9435">
        <v>11869785</v>
      </c>
      <c r="D9435">
        <v>112</v>
      </c>
    </row>
    <row r="9436" spans="1:4" x14ac:dyDescent="0.25">
      <c r="A9436" t="str">
        <f>T("   853939")</f>
        <v xml:space="preserve">   853939</v>
      </c>
      <c r="B9436" t="str">
        <f>T("   Lampes et tubes à décharge (autres que fluorescents, à cathode chaude, à vapeur de mercure ou de sodium, à halogénure métallique et qu'à rayons ultraviolets)")</f>
        <v xml:space="preserve">   Lampes et tubes à décharge (autres que fluorescents, à cathode chaude, à vapeur de mercure ou de sodium, à halogénure métallique et qu'à rayons ultraviolets)</v>
      </c>
      <c r="C9436">
        <v>524112</v>
      </c>
      <c r="D9436">
        <v>36</v>
      </c>
    </row>
    <row r="9437" spans="1:4" x14ac:dyDescent="0.25">
      <c r="A9437" t="str">
        <f>T("   870331")</f>
        <v xml:space="preserve">   870331</v>
      </c>
      <c r="B9437" t="s">
        <v>483</v>
      </c>
      <c r="C9437">
        <v>17422813</v>
      </c>
      <c r="D9437">
        <v>2000</v>
      </c>
    </row>
    <row r="9438" spans="1:4" x14ac:dyDescent="0.25">
      <c r="A9438" t="str">
        <f>T("   870899")</f>
        <v xml:space="preserve">   870899</v>
      </c>
      <c r="B9438"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9438">
        <v>21885332</v>
      </c>
      <c r="D9438">
        <v>891</v>
      </c>
    </row>
    <row r="9439" spans="1:4" x14ac:dyDescent="0.25">
      <c r="A9439" t="str">
        <f>T("   940350")</f>
        <v xml:space="preserve">   940350</v>
      </c>
      <c r="B9439" t="str">
        <f>T("   Meubles pour chambres à coucher, en bois (sauf sièges)")</f>
        <v xml:space="preserve">   Meubles pour chambres à coucher, en bois (sauf sièges)</v>
      </c>
      <c r="C9439">
        <v>3000000</v>
      </c>
      <c r="D9439">
        <v>7000</v>
      </c>
    </row>
    <row r="9440" spans="1:4" x14ac:dyDescent="0.25">
      <c r="A9440" t="str">
        <f>T("   940370")</f>
        <v xml:space="preserve">   940370</v>
      </c>
      <c r="B9440" t="str">
        <f>T("   Meubles en matières plastiques (autres que pour la médecine, l'art dentaire et vétérinaire, la chirurgie et autres que sièges)")</f>
        <v xml:space="preserve">   Meubles en matières plastiques (autres que pour la médecine, l'art dentaire et vétérinaire, la chirurgie et autres que sièges)</v>
      </c>
      <c r="C9440">
        <v>793849</v>
      </c>
      <c r="D9440">
        <v>5300</v>
      </c>
    </row>
    <row r="9441" spans="1:4" x14ac:dyDescent="0.25">
      <c r="A9441" t="str">
        <f>T("SB")</f>
        <v>SB</v>
      </c>
      <c r="B9441" t="str">
        <f>T("Salomon, îles")</f>
        <v>Salomon, îles</v>
      </c>
    </row>
    <row r="9442" spans="1:4" x14ac:dyDescent="0.25">
      <c r="A9442" t="str">
        <f>T("   ZZ_Total_Produit_SH6")</f>
        <v xml:space="preserve">   ZZ_Total_Produit_SH6</v>
      </c>
      <c r="B9442" t="str">
        <f>T("   ZZ_Total_Produit_SH6")</f>
        <v xml:space="preserve">   ZZ_Total_Produit_SH6</v>
      </c>
      <c r="C9442">
        <v>487378</v>
      </c>
      <c r="D9442">
        <v>69</v>
      </c>
    </row>
    <row r="9443" spans="1:4" x14ac:dyDescent="0.25">
      <c r="A9443" t="str">
        <f>T("   901890")</f>
        <v xml:space="preserve">   901890</v>
      </c>
      <c r="B9443" t="str">
        <f>T("   Instruments et appareils pour la médecine, la chirurgie ou l'art vétérinaire, n.d.a.")</f>
        <v xml:space="preserve">   Instruments et appareils pour la médecine, la chirurgie ou l'art vétérinaire, n.d.a.</v>
      </c>
      <c r="C9443">
        <v>487378</v>
      </c>
      <c r="D9443">
        <v>69</v>
      </c>
    </row>
    <row r="9444" spans="1:4" x14ac:dyDescent="0.25">
      <c r="A9444" t="str">
        <f>T("SC")</f>
        <v>SC</v>
      </c>
      <c r="B9444" t="str">
        <f>T("Seychelles")</f>
        <v>Seychelles</v>
      </c>
    </row>
    <row r="9445" spans="1:4" x14ac:dyDescent="0.25">
      <c r="A9445" t="str">
        <f>T("   ZZ_Total_Produit_SH6")</f>
        <v xml:space="preserve">   ZZ_Total_Produit_SH6</v>
      </c>
      <c r="B9445" t="str">
        <f>T("   ZZ_Total_Produit_SH6")</f>
        <v xml:space="preserve">   ZZ_Total_Produit_SH6</v>
      </c>
      <c r="C9445">
        <v>7296099</v>
      </c>
      <c r="D9445">
        <v>42706</v>
      </c>
    </row>
    <row r="9446" spans="1:4" x14ac:dyDescent="0.25">
      <c r="A9446" t="str">
        <f>T("   220300")</f>
        <v xml:space="preserve">   220300</v>
      </c>
      <c r="B9446" t="str">
        <f>T("   Bières de malt")</f>
        <v xml:space="preserve">   Bières de malt</v>
      </c>
      <c r="C9446">
        <v>7296099</v>
      </c>
      <c r="D9446">
        <v>42706</v>
      </c>
    </row>
    <row r="9447" spans="1:4" x14ac:dyDescent="0.25">
      <c r="A9447" t="str">
        <f>T("SE")</f>
        <v>SE</v>
      </c>
      <c r="B9447" t="str">
        <f>T("Suède")</f>
        <v>Suède</v>
      </c>
    </row>
    <row r="9448" spans="1:4" x14ac:dyDescent="0.25">
      <c r="A9448" t="str">
        <f>T("   ZZ_Total_Produit_SH6")</f>
        <v xml:space="preserve">   ZZ_Total_Produit_SH6</v>
      </c>
      <c r="B9448" t="str">
        <f>T("   ZZ_Total_Produit_SH6")</f>
        <v xml:space="preserve">   ZZ_Total_Produit_SH6</v>
      </c>
      <c r="C9448">
        <v>6536766076</v>
      </c>
      <c r="D9448">
        <v>8752228.6999999993</v>
      </c>
    </row>
    <row r="9449" spans="1:4" x14ac:dyDescent="0.25">
      <c r="A9449" t="str">
        <f>T("   220860")</f>
        <v xml:space="preserve">   220860</v>
      </c>
      <c r="B9449" t="str">
        <f>T("   VODKA")</f>
        <v xml:space="preserve">   VODKA</v>
      </c>
      <c r="C9449">
        <v>3203053</v>
      </c>
      <c r="D9449">
        <v>20045</v>
      </c>
    </row>
    <row r="9450" spans="1:4" x14ac:dyDescent="0.25">
      <c r="A9450" t="str">
        <f>T("   271019")</f>
        <v xml:space="preserve">   271019</v>
      </c>
      <c r="B9450" t="str">
        <f>T("   Huiles moyennes et préparations, de pétrole ou de minéraux bitumineux, n.d.a.")</f>
        <v xml:space="preserve">   Huiles moyennes et préparations, de pétrole ou de minéraux bitumineux, n.d.a.</v>
      </c>
      <c r="C9450">
        <v>426615591</v>
      </c>
      <c r="D9450">
        <v>1668534</v>
      </c>
    </row>
    <row r="9451" spans="1:4" x14ac:dyDescent="0.25">
      <c r="A9451" t="str">
        <f>T("   320990")</f>
        <v xml:space="preserve">   320990</v>
      </c>
      <c r="B9451" t="str">
        <f>T("   Peintures et vernis à base de polymères synthétiques ou de polymères naturels modifiés, dispersés ou dissous dans un milieu aqueux (à l'excl. des produits à base de polymères acryliques ou vinyliques)")</f>
        <v xml:space="preserve">   Peintures et vernis à base de polymères synthétiques ou de polymères naturels modifiés, dispersés ou dissous dans un milieu aqueux (à l'excl. des produits à base de polymères acryliques ou vinyliques)</v>
      </c>
      <c r="C9451">
        <v>40299950</v>
      </c>
      <c r="D9451">
        <v>8198</v>
      </c>
    </row>
    <row r="9452" spans="1:4" x14ac:dyDescent="0.25">
      <c r="A9452" t="str">
        <f>T("   330210")</f>
        <v xml:space="preserve">   330210</v>
      </c>
      <c r="B9452" t="str">
        <f>T("   Mélanges de substances odoriférantes et mélanges, y.c. les solutions alcooliques, à base d'une ou de plusieurs de ces substances, des types utilisés comme matières de base pour les industries des produits alimentaires et des boissons")</f>
        <v xml:space="preserve">   Mélanges de substances odoriférantes et mélanges, y.c. les solutions alcooliques, à base d'une ou de plusieurs de ces substances, des types utilisés comme matières de base pour les industries des produits alimentaires et des boissons</v>
      </c>
      <c r="C9452">
        <v>440149</v>
      </c>
      <c r="D9452">
        <v>437</v>
      </c>
    </row>
    <row r="9453" spans="1:4" x14ac:dyDescent="0.25">
      <c r="A9453" t="str">
        <f>T("   370120")</f>
        <v xml:space="preserve">   370120</v>
      </c>
      <c r="B9453" t="str">
        <f>T("   Films photographiques plans à développement et tirage instantanés, sensibilisés, non impressionnés, même en chargeurs")</f>
        <v xml:space="preserve">   Films photographiques plans à développement et tirage instantanés, sensibilisés, non impressionnés, même en chargeurs</v>
      </c>
      <c r="C9453">
        <v>285343</v>
      </c>
      <c r="D9453">
        <v>110</v>
      </c>
    </row>
    <row r="9454" spans="1:4" x14ac:dyDescent="0.25">
      <c r="A9454" t="str">
        <f>T("   400911")</f>
        <v xml:space="preserve">   400911</v>
      </c>
      <c r="B9454" t="str">
        <f>T("   Tubes et tuyaux en caoutchouc vulcanisé non durci, non renforcés à l'aide d'autres matières ni autrement associés à d'autres matières, sans accessoires")</f>
        <v xml:space="preserve">   Tubes et tuyaux en caoutchouc vulcanisé non durci, non renforcés à l'aide d'autres matières ni autrement associés à d'autres matières, sans accessoires</v>
      </c>
      <c r="C9454">
        <v>11200621</v>
      </c>
      <c r="D9454">
        <v>293.25</v>
      </c>
    </row>
    <row r="9455" spans="1:4" x14ac:dyDescent="0.25">
      <c r="A9455" t="str">
        <f>T("   401039")</f>
        <v xml:space="preserve">   401039</v>
      </c>
      <c r="B9455" t="s">
        <v>157</v>
      </c>
      <c r="C9455">
        <v>619771</v>
      </c>
      <c r="D9455">
        <v>35</v>
      </c>
    </row>
    <row r="9456" spans="1:4" x14ac:dyDescent="0.25">
      <c r="A9456" t="str">
        <f>T("   401693")</f>
        <v xml:space="preserve">   401693</v>
      </c>
      <c r="B9456" t="str">
        <f>T("   Joints en caoutchouc vulcanisé non durci (à l'excl. des articles en caoutchouc alvéolaire)")</f>
        <v xml:space="preserve">   Joints en caoutchouc vulcanisé non durci (à l'excl. des articles en caoutchouc alvéolaire)</v>
      </c>
      <c r="C9456">
        <v>7121653</v>
      </c>
      <c r="D9456">
        <v>194</v>
      </c>
    </row>
    <row r="9457" spans="1:4" x14ac:dyDescent="0.25">
      <c r="A9457" t="str">
        <f>T("   441111")</f>
        <v xml:space="preserve">   441111</v>
      </c>
      <c r="B9457" t="s">
        <v>176</v>
      </c>
      <c r="C9457">
        <v>10897543</v>
      </c>
      <c r="D9457">
        <v>79492</v>
      </c>
    </row>
    <row r="9458" spans="1:4" x14ac:dyDescent="0.25">
      <c r="A9458" t="str">
        <f>T("   441820")</f>
        <v xml:space="preserve">   441820</v>
      </c>
      <c r="B9458" t="str">
        <f>T("   Portes et leurs cadres, chambranles et seuils, en bois")</f>
        <v xml:space="preserve">   Portes et leurs cadres, chambranles et seuils, en bois</v>
      </c>
      <c r="C9458">
        <v>5479450</v>
      </c>
      <c r="D9458">
        <v>15800</v>
      </c>
    </row>
    <row r="9459" spans="1:4" x14ac:dyDescent="0.25">
      <c r="A9459" t="str">
        <f>T("   480100")</f>
        <v xml:space="preserve">   480100</v>
      </c>
      <c r="B9459" t="str">
        <f>T("   Papier journal, en rouleaux d'une largeur &gt; 36 cm ou en feuilles de forme carrée ou rectangulaire dont au moins un coté &gt; 36 cm et l'autre &gt; 15 cm à l'état non plié")</f>
        <v xml:space="preserve">   Papier journal, en rouleaux d'une largeur &gt; 36 cm ou en feuilles de forme carrée ou rectangulaire dont au moins un coté &gt; 36 cm et l'autre &gt; 15 cm à l'état non plié</v>
      </c>
      <c r="C9459">
        <v>50558564</v>
      </c>
      <c r="D9459">
        <v>180434</v>
      </c>
    </row>
    <row r="9460" spans="1:4" x14ac:dyDescent="0.25">
      <c r="A9460" t="str">
        <f>T("   480255")</f>
        <v xml:space="preserve">   480255</v>
      </c>
      <c r="B9460" t="s">
        <v>193</v>
      </c>
      <c r="C9460">
        <v>26658541</v>
      </c>
      <c r="D9460">
        <v>88936</v>
      </c>
    </row>
    <row r="9461" spans="1:4" x14ac:dyDescent="0.25">
      <c r="A9461" t="str">
        <f>T("   480256")</f>
        <v xml:space="preserve">   480256</v>
      </c>
      <c r="B9461" t="s">
        <v>194</v>
      </c>
      <c r="C9461">
        <v>894028833</v>
      </c>
      <c r="D9461">
        <v>1794404</v>
      </c>
    </row>
    <row r="9462" spans="1:4" x14ac:dyDescent="0.25">
      <c r="A9462" t="str">
        <f>T("   480257")</f>
        <v xml:space="preserve">   480257</v>
      </c>
      <c r="B9462" t="s">
        <v>195</v>
      </c>
      <c r="C9462">
        <v>317208934</v>
      </c>
      <c r="D9462">
        <v>631919</v>
      </c>
    </row>
    <row r="9463" spans="1:4" x14ac:dyDescent="0.25">
      <c r="A9463" t="str">
        <f>T("   480258")</f>
        <v xml:space="preserve">   480258</v>
      </c>
      <c r="B9463" t="s">
        <v>196</v>
      </c>
      <c r="C9463">
        <v>8878773</v>
      </c>
      <c r="D9463">
        <v>20155</v>
      </c>
    </row>
    <row r="9464" spans="1:4" x14ac:dyDescent="0.25">
      <c r="A9464" t="str">
        <f>T("   480421")</f>
        <v xml:space="preserve">   480421</v>
      </c>
      <c r="B9464" t="str">
        <f>T("   PAPIERS KRAFT POUR SACS DE GRANDE CONTENANCE, ÉCRUS, NON-COUCHÉS NI ENDUITS, EN ROULEAUX D'UNE LARGEUR &gt; 36 CM (À L'EXCL. DES ARTICLES DU N° 4802, 4803 OU 4808)")</f>
        <v xml:space="preserve">   PAPIERS KRAFT POUR SACS DE GRANDE CONTENANCE, ÉCRUS, NON-COUCHÉS NI ENDUITS, EN ROULEAUX D'UNE LARGEUR &gt; 36 CM (À L'EXCL. DES ARTICLES DU N° 4802, 4803 OU 4808)</v>
      </c>
      <c r="C9464">
        <v>123430026</v>
      </c>
      <c r="D9464">
        <v>280651</v>
      </c>
    </row>
    <row r="9465" spans="1:4" x14ac:dyDescent="0.25">
      <c r="A9465" t="str">
        <f>T("   480439")</f>
        <v xml:space="preserve">   480439</v>
      </c>
      <c r="B9465" t="s">
        <v>200</v>
      </c>
      <c r="C9465">
        <v>9039371</v>
      </c>
      <c r="D9465">
        <v>22050</v>
      </c>
    </row>
    <row r="9466" spans="1:4" x14ac:dyDescent="0.25">
      <c r="A9466" t="str">
        <f>T("   481029")</f>
        <v xml:space="preserve">   481029</v>
      </c>
      <c r="B9466" t="s">
        <v>209</v>
      </c>
      <c r="C9466">
        <v>32700116</v>
      </c>
      <c r="D9466">
        <v>82806</v>
      </c>
    </row>
    <row r="9467" spans="1:4" x14ac:dyDescent="0.25">
      <c r="A9467" t="str">
        <f>T("   490110")</f>
        <v xml:space="preserve">   490110</v>
      </c>
      <c r="B9467" t="str">
        <f>T("   Livres, brochures et imprimés simil., en feuillets isolés, même pliés (à l'excl. des publications périodiques et des publications à usages principalement publicitaires)")</f>
        <v xml:space="preserve">   Livres, brochures et imprimés simil., en feuillets isolés, même pliés (à l'excl. des publications périodiques et des publications à usages principalement publicitaires)</v>
      </c>
      <c r="C9467">
        <v>142343</v>
      </c>
      <c r="D9467">
        <v>7</v>
      </c>
    </row>
    <row r="9468" spans="1:4" x14ac:dyDescent="0.25">
      <c r="A9468" t="str">
        <f>T("   490199")</f>
        <v xml:space="preserve">   490199</v>
      </c>
      <c r="B9468"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9468">
        <v>489346</v>
      </c>
      <c r="D9468">
        <v>20</v>
      </c>
    </row>
    <row r="9469" spans="1:4" x14ac:dyDescent="0.25">
      <c r="A9469" t="str">
        <f>T("   490700")</f>
        <v xml:space="preserve">   490700</v>
      </c>
      <c r="B9469" t="s">
        <v>221</v>
      </c>
      <c r="C9469">
        <v>1062719</v>
      </c>
      <c r="D9469">
        <v>2260</v>
      </c>
    </row>
    <row r="9470" spans="1:4" x14ac:dyDescent="0.25">
      <c r="A9470" t="str">
        <f>T("   611490")</f>
        <v xml:space="preserve">   611490</v>
      </c>
      <c r="B9470" t="str">
        <f>T("   Vêtements spéciaux destinés à des fins professionnelles, sportives ou autres n.d.a., en bonneterie, de matières textiles (sauf de laine, poils fins, coton, fibres synthétiques ou artificielles)")</f>
        <v xml:space="preserve">   Vêtements spéciaux destinés à des fins professionnelles, sportives ou autres n.d.a., en bonneterie, de matières textiles (sauf de laine, poils fins, coton, fibres synthétiques ou artificielles)</v>
      </c>
      <c r="C9470">
        <v>500000</v>
      </c>
      <c r="D9470">
        <v>600</v>
      </c>
    </row>
    <row r="9471" spans="1:4" x14ac:dyDescent="0.25">
      <c r="A9471" t="str">
        <f>T("   630900")</f>
        <v xml:space="preserve">   630900</v>
      </c>
      <c r="B9471" t="s">
        <v>278</v>
      </c>
      <c r="C9471">
        <v>19925441</v>
      </c>
      <c r="D9471">
        <v>35981</v>
      </c>
    </row>
    <row r="9472" spans="1:4" x14ac:dyDescent="0.25">
      <c r="A9472" t="str">
        <f>T("   690790")</f>
        <v xml:space="preserve">   690790</v>
      </c>
      <c r="B9472" t="s">
        <v>310</v>
      </c>
      <c r="C9472">
        <v>16474628</v>
      </c>
      <c r="D9472">
        <v>172197</v>
      </c>
    </row>
    <row r="9473" spans="1:4" x14ac:dyDescent="0.25">
      <c r="A9473" t="str">
        <f>T("   690890")</f>
        <v xml:space="preserve">   690890</v>
      </c>
      <c r="B9473" t="s">
        <v>311</v>
      </c>
      <c r="C9473">
        <v>203608266</v>
      </c>
      <c r="D9473">
        <v>2146819</v>
      </c>
    </row>
    <row r="9474" spans="1:4" x14ac:dyDescent="0.25">
      <c r="A9474" t="str">
        <f>T("   691010")</f>
        <v xml:space="preserve">   691010</v>
      </c>
      <c r="B9474" t="s">
        <v>312</v>
      </c>
      <c r="C9474">
        <v>5933394</v>
      </c>
      <c r="D9474">
        <v>15652</v>
      </c>
    </row>
    <row r="9475" spans="1:4" x14ac:dyDescent="0.25">
      <c r="A9475" t="str">
        <f>T("   691090")</f>
        <v xml:space="preserve">   691090</v>
      </c>
      <c r="B9475" t="s">
        <v>313</v>
      </c>
      <c r="C9475">
        <v>21710002</v>
      </c>
      <c r="D9475">
        <v>94422</v>
      </c>
    </row>
    <row r="9476" spans="1:4" x14ac:dyDescent="0.25">
      <c r="A9476" t="str">
        <f>T("   700529")</f>
        <v xml:space="preserve">   700529</v>
      </c>
      <c r="B9476" t="s">
        <v>318</v>
      </c>
      <c r="C9476">
        <v>6096958</v>
      </c>
      <c r="D9476">
        <v>54000</v>
      </c>
    </row>
    <row r="9477" spans="1:4" x14ac:dyDescent="0.25">
      <c r="A9477" t="str">
        <f>T("   721720")</f>
        <v xml:space="preserve">   721720</v>
      </c>
      <c r="B9477" t="str">
        <f>T("   FILS EN FER OU EN ACIERS NON-ALLIÉS, ENROULÉS, ZINGUÉS (À L'EXCL. DU FIL MACHINE)")</f>
        <v xml:space="preserve">   FILS EN FER OU EN ACIERS NON-ALLIÉS, ENROULÉS, ZINGUÉS (À L'EXCL. DU FIL MACHINE)</v>
      </c>
      <c r="C9477">
        <v>23056256</v>
      </c>
      <c r="D9477">
        <v>78000</v>
      </c>
    </row>
    <row r="9478" spans="1:4" x14ac:dyDescent="0.25">
      <c r="A9478" t="str">
        <f>T("   721790")</f>
        <v xml:space="preserve">   721790</v>
      </c>
      <c r="B9478" t="str">
        <f>T("   FILS EN FER OU EN ACIERS NON-ALLIÉS, ENROULÉS, REVÊTUS (À L'EXCL. DU FIL MACHINE AINSI QUE DES FILS REVÊTUS DE MÉTAUX COMMUNS)")</f>
        <v xml:space="preserve">   FILS EN FER OU EN ACIERS NON-ALLIÉS, ENROULÉS, REVÊTUS (À L'EXCL. DU FIL MACHINE AINSI QUE DES FILS REVÊTUS DE MÉTAUX COMMUNS)</v>
      </c>
      <c r="C9478">
        <v>14804246</v>
      </c>
      <c r="D9478">
        <v>52000</v>
      </c>
    </row>
    <row r="9479" spans="1:4" x14ac:dyDescent="0.25">
      <c r="A9479" t="str">
        <f>T("   722540")</f>
        <v xml:space="preserve">   722540</v>
      </c>
      <c r="B9479" t="str">
        <f>T("   PRODUITS LAMINÉS PLATS EN ACIERS ALLIÉS AUTRES QU'ACIERS INOXYDABLES, D'UNE LARGEUR &gt;= 600 MM, SIMPL. LAMINÉS À CHAUD, NON-ENROULÉS (SAUF ACIERS AU SILICIUM DITS -MAGNÉTIQUES-)")</f>
        <v xml:space="preserve">   PRODUITS LAMINÉS PLATS EN ACIERS ALLIÉS AUTRES QU'ACIERS INOXYDABLES, D'UNE LARGEUR &gt;= 600 MM, SIMPL. LAMINÉS À CHAUD, NON-ENROULÉS (SAUF ACIERS AU SILICIUM DITS -MAGNÉTIQUES-)</v>
      </c>
      <c r="C9479">
        <v>4897397</v>
      </c>
      <c r="D9479">
        <v>4004</v>
      </c>
    </row>
    <row r="9480" spans="1:4" x14ac:dyDescent="0.25">
      <c r="A9480" t="str">
        <f>T("   730630")</f>
        <v xml:space="preserve">   730630</v>
      </c>
      <c r="B9480" t="s">
        <v>351</v>
      </c>
      <c r="C9480">
        <v>17363669</v>
      </c>
      <c r="D9480">
        <v>50900</v>
      </c>
    </row>
    <row r="9481" spans="1:4" x14ac:dyDescent="0.25">
      <c r="A9481" t="str">
        <f>T("   730650")</f>
        <v xml:space="preserve">   730650</v>
      </c>
      <c r="B9481" t="s">
        <v>353</v>
      </c>
      <c r="C9481">
        <v>18577209</v>
      </c>
      <c r="D9481">
        <v>50900</v>
      </c>
    </row>
    <row r="9482" spans="1:4" x14ac:dyDescent="0.25">
      <c r="A9482" t="str">
        <f>T("   730690")</f>
        <v xml:space="preserve">   730690</v>
      </c>
      <c r="B9482" t="str">
        <f>T("   Tubes, tuyaux et profilés creux [p.ex. rivés, agrafés ou à bords simplement rapprochés], en fer ou en acier (sauf tubes sans soudure ou soudés et tubes de sections intérieure et extérieure circulaires et d'un diamètre extérieur &gt; 406,4 mm)")</f>
        <v xml:space="preserve">   Tubes, tuyaux et profilés creux [p.ex. rivés, agrafés ou à bords simplement rapprochés], en fer ou en acier (sauf tubes sans soudure ou soudés et tubes de sections intérieure et extérieure circulaires et d'un diamètre extérieur &gt; 406,4 mm)</v>
      </c>
      <c r="C9482">
        <v>1277679</v>
      </c>
      <c r="D9482">
        <v>32</v>
      </c>
    </row>
    <row r="9483" spans="1:4" x14ac:dyDescent="0.25">
      <c r="A9483" t="str">
        <f>T("   730792")</f>
        <v xml:space="preserve">   730792</v>
      </c>
      <c r="B9483" t="str">
        <f>T("   Coudes, courbes et manchons en fer ou en aciers, filetés (autres que moulés ou en aciers inoxydables)")</f>
        <v xml:space="preserve">   Coudes, courbes et manchons en fer ou en aciers, filetés (autres que moulés ou en aciers inoxydables)</v>
      </c>
      <c r="C9483">
        <v>105196</v>
      </c>
      <c r="D9483">
        <v>3</v>
      </c>
    </row>
    <row r="9484" spans="1:4" x14ac:dyDescent="0.25">
      <c r="A9484" t="str">
        <f>T("   730820")</f>
        <v xml:space="preserve">   730820</v>
      </c>
      <c r="B9484" t="str">
        <f>T("   Tours et pylônes, en fer ou en acier")</f>
        <v xml:space="preserve">   Tours et pylônes, en fer ou en acier</v>
      </c>
      <c r="C9484">
        <v>740316895</v>
      </c>
      <c r="D9484">
        <v>448070</v>
      </c>
    </row>
    <row r="9485" spans="1:4" x14ac:dyDescent="0.25">
      <c r="A9485" t="str">
        <f>T("   730890")</f>
        <v xml:space="preserve">   730890</v>
      </c>
      <c r="B9485" t="s">
        <v>355</v>
      </c>
      <c r="C9485">
        <v>281230398</v>
      </c>
      <c r="D9485">
        <v>237937</v>
      </c>
    </row>
    <row r="9486" spans="1:4" x14ac:dyDescent="0.25">
      <c r="A9486" t="str">
        <f>T("   731290")</f>
        <v xml:space="preserve">   731290</v>
      </c>
      <c r="B9486" t="str">
        <f>T("   Tresses, élingues et simil., en fer ou en acier (sauf produits isolés pour l'électricité)")</f>
        <v xml:space="preserve">   Tresses, élingues et simil., en fer ou en acier (sauf produits isolés pour l'électricité)</v>
      </c>
      <c r="C9486">
        <v>943926</v>
      </c>
      <c r="D9486">
        <v>14</v>
      </c>
    </row>
    <row r="9487" spans="1:4" x14ac:dyDescent="0.25">
      <c r="A9487" t="str">
        <f>T("   731700")</f>
        <v xml:space="preserve">   731700</v>
      </c>
      <c r="B9487" t="str">
        <f>T("   Pointes, clous, punaises, crampons appointés, agrafes ondulées ou biseautées et articles simil., en fonte, fer ou acier, même avec tête en autre matière (à l'excl. de ceux avec tête en cuivre et à l'excl. des agrafes en barrettes)")</f>
        <v xml:space="preserve">   Pointes, clous, punaises, crampons appointés, agrafes ondulées ou biseautées et articles simil., en fonte, fer ou acier, même avec tête en autre matière (à l'excl. de ceux avec tête en cuivre et à l'excl. des agrafes en barrettes)</v>
      </c>
      <c r="C9487">
        <v>14105877</v>
      </c>
      <c r="D9487">
        <v>49470</v>
      </c>
    </row>
    <row r="9488" spans="1:4" x14ac:dyDescent="0.25">
      <c r="A9488" t="str">
        <f>T("   731815")</f>
        <v xml:space="preserve">   731815</v>
      </c>
      <c r="B9488" t="s">
        <v>359</v>
      </c>
      <c r="C9488">
        <v>832787</v>
      </c>
      <c r="D9488">
        <v>162.5</v>
      </c>
    </row>
    <row r="9489" spans="1:4" x14ac:dyDescent="0.25">
      <c r="A9489" t="str">
        <f>T("   731816")</f>
        <v xml:space="preserve">   731816</v>
      </c>
      <c r="B9489" t="str">
        <f>T("   ÉCROUS EN FONTE, FER OU ACIER")</f>
        <v xml:space="preserve">   ÉCROUS EN FONTE, FER OU ACIER</v>
      </c>
      <c r="C9489">
        <v>489759</v>
      </c>
      <c r="D9489">
        <v>1842.42</v>
      </c>
    </row>
    <row r="9490" spans="1:4" x14ac:dyDescent="0.25">
      <c r="A9490" t="str">
        <f>T("   731821")</f>
        <v xml:space="preserve">   731821</v>
      </c>
      <c r="B9490" t="str">
        <f>T("   Rondelles destinées à faire ressort et autres rondelles de blocage, en fonte, fer ou acier")</f>
        <v xml:space="preserve">   Rondelles destinées à faire ressort et autres rondelles de blocage, en fonte, fer ou acier</v>
      </c>
      <c r="C9490">
        <v>156363</v>
      </c>
      <c r="D9490">
        <v>62.37</v>
      </c>
    </row>
    <row r="9491" spans="1:4" x14ac:dyDescent="0.25">
      <c r="A9491" t="str">
        <f>T("   731822")</f>
        <v xml:space="preserve">   731822</v>
      </c>
      <c r="B9491" t="str">
        <f>T("   Rondelles en fonte, fer ou acier (sauf rondelles destinées à faire ressort et autres rondelles de blocage)")</f>
        <v xml:space="preserve">   Rondelles en fonte, fer ou acier (sauf rondelles destinées à faire ressort et autres rondelles de blocage)</v>
      </c>
      <c r="C9491">
        <v>1939674</v>
      </c>
      <c r="D9491">
        <v>130</v>
      </c>
    </row>
    <row r="9492" spans="1:4" x14ac:dyDescent="0.25">
      <c r="A9492" t="str">
        <f>T("   731829")</f>
        <v xml:space="preserve">   731829</v>
      </c>
      <c r="B9492" t="str">
        <f>T("   Articles de boulonnerie et de visserie non filetés, en fonte, fer ou acier, n.d.a.")</f>
        <v xml:space="preserve">   Articles de boulonnerie et de visserie non filetés, en fonte, fer ou acier, n.d.a.</v>
      </c>
      <c r="C9492">
        <v>1467383</v>
      </c>
      <c r="D9492">
        <v>65</v>
      </c>
    </row>
    <row r="9493" spans="1:4" x14ac:dyDescent="0.25">
      <c r="A9493" t="str">
        <f>T("   732490")</f>
        <v xml:space="preserve">   732490</v>
      </c>
      <c r="B9493" t="s">
        <v>369</v>
      </c>
      <c r="C9493">
        <v>2212195</v>
      </c>
      <c r="D9493">
        <v>13118</v>
      </c>
    </row>
    <row r="9494" spans="1:4" x14ac:dyDescent="0.25">
      <c r="A9494" t="str">
        <f>T("   732690")</f>
        <v xml:space="preserve">   732690</v>
      </c>
      <c r="B9494"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9494">
        <v>4074568</v>
      </c>
      <c r="D9494">
        <v>150</v>
      </c>
    </row>
    <row r="9495" spans="1:4" x14ac:dyDescent="0.25">
      <c r="A9495" t="str">
        <f>T("   761699")</f>
        <v xml:space="preserve">   761699</v>
      </c>
      <c r="B9495" t="str">
        <f>T("   Ouvrages en aluminium, n.d.a.")</f>
        <v xml:space="preserve">   Ouvrages en aluminium, n.d.a.</v>
      </c>
      <c r="C9495">
        <v>2345301</v>
      </c>
      <c r="D9495">
        <v>26591</v>
      </c>
    </row>
    <row r="9496" spans="1:4" x14ac:dyDescent="0.25">
      <c r="A9496" t="str">
        <f>T("   820590")</f>
        <v xml:space="preserve">   820590</v>
      </c>
      <c r="B9496" t="str">
        <f>T("   Assortiments d'outils d'au moins deux des sous-positions du n° 8205")</f>
        <v xml:space="preserve">   Assortiments d'outils d'au moins deux des sous-positions du n° 8205</v>
      </c>
      <c r="C9496">
        <v>1273218</v>
      </c>
      <c r="D9496">
        <v>56</v>
      </c>
    </row>
    <row r="9497" spans="1:4" x14ac:dyDescent="0.25">
      <c r="A9497" t="str">
        <f>T("   820719")</f>
        <v xml:space="preserve">   820719</v>
      </c>
      <c r="B9497" t="str">
        <f>T("   Outils de forage ou de sondage, interchangeables, et leurs parties, avec partie travaillante en matières autres qu'en carbures métalliques frittés ou en cermets")</f>
        <v xml:space="preserve">   Outils de forage ou de sondage, interchangeables, et leurs parties, avec partie travaillante en matières autres qu'en carbures métalliques frittés ou en cermets</v>
      </c>
      <c r="C9497">
        <v>322076</v>
      </c>
      <c r="D9497">
        <v>4</v>
      </c>
    </row>
    <row r="9498" spans="1:4" x14ac:dyDescent="0.25">
      <c r="A9498" t="str">
        <f>T("   830140")</f>
        <v xml:space="preserve">   830140</v>
      </c>
      <c r="B9498" t="str">
        <f>T("   Serrures et verrous, en métaux communs (autres que cadenas et serrures des types utilisés pour véhicules automobiles ou meubles)")</f>
        <v xml:space="preserve">   Serrures et verrous, en métaux communs (autres que cadenas et serrures des types utilisés pour véhicules automobiles ou meubles)</v>
      </c>
      <c r="C9498">
        <v>454134</v>
      </c>
      <c r="D9498">
        <v>19</v>
      </c>
    </row>
    <row r="9499" spans="1:4" x14ac:dyDescent="0.25">
      <c r="A9499" t="str">
        <f>T("   840999")</f>
        <v xml:space="preserve">   840999</v>
      </c>
      <c r="B9499"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9499">
        <v>770097</v>
      </c>
      <c r="D9499">
        <v>37</v>
      </c>
    </row>
    <row r="9500" spans="1:4" x14ac:dyDescent="0.25">
      <c r="A9500" t="str">
        <f>T("   841350")</f>
        <v xml:space="preserve">   841350</v>
      </c>
      <c r="B9500" t="s">
        <v>394</v>
      </c>
      <c r="C9500">
        <v>1531544</v>
      </c>
      <c r="D9500">
        <v>25</v>
      </c>
    </row>
    <row r="9501" spans="1:4" x14ac:dyDescent="0.25">
      <c r="A9501" t="str">
        <f>T("   841381")</f>
        <v xml:space="preserve">   841381</v>
      </c>
      <c r="B9501" t="s">
        <v>397</v>
      </c>
      <c r="C9501">
        <v>2699315</v>
      </c>
      <c r="D9501">
        <v>53</v>
      </c>
    </row>
    <row r="9502" spans="1:4" x14ac:dyDescent="0.25">
      <c r="A9502" t="str">
        <f>T("   841440")</f>
        <v xml:space="preserve">   841440</v>
      </c>
      <c r="B9502" t="str">
        <f>T("   Compresseurs d'air montés sur châssis à roues et remorquables")</f>
        <v xml:space="preserve">   Compresseurs d'air montés sur châssis à roues et remorquables</v>
      </c>
      <c r="C9502">
        <v>615290</v>
      </c>
      <c r="D9502">
        <v>15</v>
      </c>
    </row>
    <row r="9503" spans="1:4" x14ac:dyDescent="0.25">
      <c r="A9503" t="str">
        <f>T("   841459")</f>
        <v xml:space="preserve">   841459</v>
      </c>
      <c r="B9503" t="str">
        <f>T("   Ventilateurs (sauf ventilateurs de table, de sol, muraux, plafonniers, de toitures ou de fenêtres, à moteur électrique incorporé, d'une puissance &lt;= 125 W)")</f>
        <v xml:space="preserve">   Ventilateurs (sauf ventilateurs de table, de sol, muraux, plafonniers, de toitures ou de fenêtres, à moteur électrique incorporé, d'une puissance &lt;= 125 W)</v>
      </c>
      <c r="C9503">
        <v>246831</v>
      </c>
      <c r="D9503">
        <v>11</v>
      </c>
    </row>
    <row r="9504" spans="1:4" x14ac:dyDescent="0.25">
      <c r="A9504" t="str">
        <f>T("   841480")</f>
        <v xml:space="preserve">   841480</v>
      </c>
      <c r="B9504" t="s">
        <v>398</v>
      </c>
      <c r="C9504">
        <v>2296318</v>
      </c>
      <c r="D9504">
        <v>58.25</v>
      </c>
    </row>
    <row r="9505" spans="1:4" x14ac:dyDescent="0.25">
      <c r="A9505" t="str">
        <f>T("   841490")</f>
        <v xml:space="preserve">   841490</v>
      </c>
      <c r="B9505" t="str">
        <f>T("   Parties de pompes à air ou à vide, de compresseurs d'air ou d'autres gaz et de ventilateurs, de hottes aspirantes à extraction ou à recyclage, à ventilateur incorporé, n.d.a.")</f>
        <v xml:space="preserve">   Parties de pompes à air ou à vide, de compresseurs d'air ou d'autres gaz et de ventilateurs, de hottes aspirantes à extraction ou à recyclage, à ventilateur incorporé, n.d.a.</v>
      </c>
      <c r="C9505">
        <v>955471</v>
      </c>
      <c r="D9505">
        <v>30.25</v>
      </c>
    </row>
    <row r="9506" spans="1:4" x14ac:dyDescent="0.25">
      <c r="A9506" t="str">
        <f>T("   842123")</f>
        <v xml:space="preserve">   842123</v>
      </c>
      <c r="B9506" t="str">
        <f>T("   Appareils pour la filtration des huiles minérales et carburants pour les moteurs à allumage par étincelles ou par compression")</f>
        <v xml:space="preserve">   Appareils pour la filtration des huiles minérales et carburants pour les moteurs à allumage par étincelles ou par compression</v>
      </c>
      <c r="C9506">
        <v>138392</v>
      </c>
      <c r="D9506">
        <v>36</v>
      </c>
    </row>
    <row r="9507" spans="1:4" x14ac:dyDescent="0.25">
      <c r="A9507" t="str">
        <f>T("   842131")</f>
        <v xml:space="preserve">   842131</v>
      </c>
      <c r="B9507" t="str">
        <f>T("   Filtres d'entrée d'air pour moteurs à allumage par étincelles ou par compression")</f>
        <v xml:space="preserve">   Filtres d'entrée d'air pour moteurs à allumage par étincelles ou par compression</v>
      </c>
      <c r="C9507">
        <v>4418638</v>
      </c>
      <c r="D9507">
        <v>920</v>
      </c>
    </row>
    <row r="9508" spans="1:4" x14ac:dyDescent="0.25">
      <c r="A9508" t="str">
        <f>T("   842139")</f>
        <v xml:space="preserve">   842139</v>
      </c>
      <c r="B9508" t="str">
        <f>T("   Appareils pour la filtration ou l'épuration des gaz (autres que pour la séparation isotopique et sauf les filtres d'entrée d'air pour moteurs à allumage par étincelles ou par compression)")</f>
        <v xml:space="preserve">   Appareils pour la filtration ou l'épuration des gaz (autres que pour la séparation isotopique et sauf les filtres d'entrée d'air pour moteurs à allumage par étincelles ou par compression)</v>
      </c>
      <c r="C9508">
        <v>2642496</v>
      </c>
      <c r="D9508">
        <v>30.25</v>
      </c>
    </row>
    <row r="9509" spans="1:4" x14ac:dyDescent="0.25">
      <c r="A9509" t="str">
        <f>T("   842199")</f>
        <v xml:space="preserve">   842199</v>
      </c>
      <c r="B9509" t="str">
        <f>T("   Parties d'appareils pour la filtration ou l'épuration des liquides ou des gaz, n.d.a.")</f>
        <v xml:space="preserve">   Parties d'appareils pour la filtration ou l'épuration des liquides ou des gaz, n.d.a.</v>
      </c>
      <c r="C9509">
        <v>2282656</v>
      </c>
      <c r="D9509">
        <v>62.33</v>
      </c>
    </row>
    <row r="9510" spans="1:4" x14ac:dyDescent="0.25">
      <c r="A9510" t="str">
        <f>T("   842940")</f>
        <v xml:space="preserve">   842940</v>
      </c>
      <c r="B9510" t="str">
        <f>T("   Rouleaux compresseurs et autres compacteuses, autopropulsés")</f>
        <v xml:space="preserve">   Rouleaux compresseurs et autres compacteuses, autopropulsés</v>
      </c>
      <c r="C9510">
        <v>1700250</v>
      </c>
      <c r="D9510">
        <v>13600</v>
      </c>
    </row>
    <row r="9511" spans="1:4" x14ac:dyDescent="0.25">
      <c r="A9511" t="str">
        <f>T("   843120")</f>
        <v xml:space="preserve">   843120</v>
      </c>
      <c r="B9511" t="str">
        <f>T("   Parties de chariots-gerbeurs et autres chariots de manutention munis d'un dispositif de levage, n.d.a.")</f>
        <v xml:space="preserve">   Parties de chariots-gerbeurs et autres chariots de manutention munis d'un dispositif de levage, n.d.a.</v>
      </c>
      <c r="C9511">
        <v>74860806</v>
      </c>
      <c r="D9511">
        <v>2487.6999999999998</v>
      </c>
    </row>
    <row r="9512" spans="1:4" x14ac:dyDescent="0.25">
      <c r="A9512" t="str">
        <f>T("   843139")</f>
        <v xml:space="preserve">   843139</v>
      </c>
      <c r="B9512" t="str">
        <f>T("   Parties de machines et appareils du n° 8428, n.d.a.")</f>
        <v xml:space="preserve">   Parties de machines et appareils du n° 8428, n.d.a.</v>
      </c>
      <c r="C9512">
        <v>7439157</v>
      </c>
      <c r="D9512">
        <v>72.599999999999994</v>
      </c>
    </row>
    <row r="9513" spans="1:4" x14ac:dyDescent="0.25">
      <c r="A9513" t="str">
        <f>T("   843149")</f>
        <v xml:space="preserve">   843149</v>
      </c>
      <c r="B9513" t="str">
        <f>T("   Parties de machines et appareils du n° 8426, 8429 ou 8430, n.d.a.")</f>
        <v xml:space="preserve">   Parties de machines et appareils du n° 8426, 8429 ou 8430, n.d.a.</v>
      </c>
      <c r="C9513">
        <v>14649776</v>
      </c>
      <c r="D9513">
        <v>3305.85</v>
      </c>
    </row>
    <row r="9514" spans="1:4" x14ac:dyDescent="0.25">
      <c r="A9514" t="str">
        <f>T("   847180")</f>
        <v xml:space="preserve">   847180</v>
      </c>
      <c r="B9514"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9514">
        <v>84250800</v>
      </c>
      <c r="D9514">
        <v>230</v>
      </c>
    </row>
    <row r="9515" spans="1:4" x14ac:dyDescent="0.25">
      <c r="A9515" t="str">
        <f>T("   848130")</f>
        <v xml:space="preserve">   848130</v>
      </c>
      <c r="B9515" t="str">
        <f>T("   Clapets et soupapes de retenue, pour tuyauteries, chaudières, réservoirs, cuves ou contenants simil.")</f>
        <v xml:space="preserve">   Clapets et soupapes de retenue, pour tuyauteries, chaudières, réservoirs, cuves ou contenants simil.</v>
      </c>
      <c r="C9515">
        <v>104973</v>
      </c>
      <c r="D9515">
        <v>20</v>
      </c>
    </row>
    <row r="9516" spans="1:4" x14ac:dyDescent="0.25">
      <c r="A9516" t="str">
        <f>T("   848180")</f>
        <v xml:space="preserve">   848180</v>
      </c>
      <c r="B9516"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9516">
        <v>6470685</v>
      </c>
      <c r="D9516">
        <v>235</v>
      </c>
    </row>
    <row r="9517" spans="1:4" x14ac:dyDescent="0.25">
      <c r="A9517" t="str">
        <f>T("   848291")</f>
        <v xml:space="preserve">   848291</v>
      </c>
      <c r="B9517" t="str">
        <f>T("   Billes, galets, rouleaux et aiguilles pour roulements (sauf billes en acier du n° 7326)")</f>
        <v xml:space="preserve">   Billes, galets, rouleaux et aiguilles pour roulements (sauf billes en acier du n° 7326)</v>
      </c>
      <c r="C9517">
        <v>3316757</v>
      </c>
      <c r="D9517">
        <v>920</v>
      </c>
    </row>
    <row r="9518" spans="1:4" x14ac:dyDescent="0.25">
      <c r="A9518" t="str">
        <f>T("   848330")</f>
        <v xml:space="preserve">   848330</v>
      </c>
      <c r="B9518" t="str">
        <f>T("   Paliers pour machines, sans roulements incorporés; coussinets et coquilles de coussinets pour machines")</f>
        <v xml:space="preserve">   Paliers pour machines, sans roulements incorporés; coussinets et coquilles de coussinets pour machines</v>
      </c>
      <c r="C9518">
        <v>1879981</v>
      </c>
      <c r="D9518">
        <v>82</v>
      </c>
    </row>
    <row r="9519" spans="1:4" x14ac:dyDescent="0.25">
      <c r="A9519" t="str">
        <f>T("   848490")</f>
        <v xml:space="preserve">   848490</v>
      </c>
      <c r="B9519" t="str">
        <f>T("   Jeux ou assortiments de joints de composition différente présentés en pochettes, enveloppes ou emballages analogues")</f>
        <v xml:space="preserve">   Jeux ou assortiments de joints de composition différente présentés en pochettes, enveloppes ou emballages analogues</v>
      </c>
      <c r="C9519">
        <v>14530252</v>
      </c>
      <c r="D9519">
        <v>344.83</v>
      </c>
    </row>
    <row r="9520" spans="1:4" x14ac:dyDescent="0.25">
      <c r="A9520" t="str">
        <f>T("   850211")</f>
        <v xml:space="preserve">   850211</v>
      </c>
      <c r="B9520" t="s">
        <v>449</v>
      </c>
      <c r="C9520">
        <v>417670119</v>
      </c>
      <c r="D9520">
        <v>29854</v>
      </c>
    </row>
    <row r="9521" spans="1:4" x14ac:dyDescent="0.25">
      <c r="A9521" t="str">
        <f>T("   851140")</f>
        <v xml:space="preserve">   851140</v>
      </c>
      <c r="B9521" t="str">
        <f>T("   Démarreurs, même fonctionnant comme génératrices, pour moteurs à allumage par étincelles ou par compression")</f>
        <v xml:space="preserve">   Démarreurs, même fonctionnant comme génératrices, pour moteurs à allumage par étincelles ou par compression</v>
      </c>
      <c r="C9521">
        <v>627098</v>
      </c>
      <c r="D9521">
        <v>37</v>
      </c>
    </row>
    <row r="9522" spans="1:4" x14ac:dyDescent="0.25">
      <c r="A9522" t="str">
        <f>T("   851150")</f>
        <v xml:space="preserve">   851150</v>
      </c>
      <c r="B9522" t="str">
        <f>T("   Génératrices pour moteurs à allumage par étincelles ou par compression (autres que dynamos-magnétos et démarreurs fonctionnant comme génératrices)")</f>
        <v xml:space="preserve">   Génératrices pour moteurs à allumage par étincelles ou par compression (autres que dynamos-magnétos et démarreurs fonctionnant comme génératrices)</v>
      </c>
      <c r="C9522">
        <v>728116</v>
      </c>
      <c r="D9522">
        <v>23</v>
      </c>
    </row>
    <row r="9523" spans="1:4" x14ac:dyDescent="0.25">
      <c r="A9523" t="str">
        <f>T("   851190")</f>
        <v xml:space="preserve">   851190</v>
      </c>
      <c r="B9523" t="str">
        <f>T("   Parties des appareils et dispositifs électriques d'allumage et de démarrage, génératrices etc. du n° 8511, n.d.a.")</f>
        <v xml:space="preserve">   Parties des appareils et dispositifs électriques d'allumage et de démarrage, génératrices etc. du n° 8511, n.d.a.</v>
      </c>
      <c r="C9523">
        <v>217542</v>
      </c>
      <c r="D9523">
        <v>122</v>
      </c>
    </row>
    <row r="9524" spans="1:4" x14ac:dyDescent="0.25">
      <c r="A9524" t="str">
        <f>T("   851750")</f>
        <v xml:space="preserve">   851750</v>
      </c>
      <c r="B9524" t="s">
        <v>457</v>
      </c>
      <c r="C9524">
        <v>102020909</v>
      </c>
      <c r="D9524">
        <v>8063</v>
      </c>
    </row>
    <row r="9525" spans="1:4" x14ac:dyDescent="0.25">
      <c r="A9525" t="str">
        <f>T("   851780")</f>
        <v xml:space="preserve">   851780</v>
      </c>
      <c r="B9525" t="s">
        <v>458</v>
      </c>
      <c r="C9525">
        <v>2251977401</v>
      </c>
      <c r="D9525">
        <v>194334.1</v>
      </c>
    </row>
    <row r="9526" spans="1:4" x14ac:dyDescent="0.25">
      <c r="A9526" t="str">
        <f>T("   851790")</f>
        <v xml:space="preserve">   851790</v>
      </c>
      <c r="B9526" t="s">
        <v>459</v>
      </c>
      <c r="C9526">
        <v>62728400</v>
      </c>
      <c r="D9526">
        <v>267</v>
      </c>
    </row>
    <row r="9527" spans="1:4" x14ac:dyDescent="0.25">
      <c r="A9527" t="str">
        <f>T("   852910")</f>
        <v xml:space="preserve">   852910</v>
      </c>
      <c r="B9527"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9527">
        <v>472160</v>
      </c>
      <c r="D9527">
        <v>4770</v>
      </c>
    </row>
    <row r="9528" spans="1:4" x14ac:dyDescent="0.25">
      <c r="A9528" t="str">
        <f>T("   852990")</f>
        <v xml:space="preserve">   852990</v>
      </c>
      <c r="B9528" t="s">
        <v>471</v>
      </c>
      <c r="C9528">
        <v>19174000</v>
      </c>
      <c r="D9528">
        <v>320</v>
      </c>
    </row>
    <row r="9529" spans="1:4" x14ac:dyDescent="0.25">
      <c r="A9529" t="str">
        <f>T("   853649")</f>
        <v xml:space="preserve">   853649</v>
      </c>
      <c r="B9529" t="str">
        <f>T("   Relais, pour une tension &gt; 60 V mais &lt;= 1.000 V")</f>
        <v xml:space="preserve">   Relais, pour une tension &gt; 60 V mais &lt;= 1.000 V</v>
      </c>
      <c r="C9529">
        <v>1199272</v>
      </c>
      <c r="D9529">
        <v>925</v>
      </c>
    </row>
    <row r="9530" spans="1:4" x14ac:dyDescent="0.25">
      <c r="A9530" t="str">
        <f>T("   853650")</f>
        <v xml:space="preserve">   853650</v>
      </c>
      <c r="B9530" t="str">
        <f>T("   Interrupteurs, sectionneurs et commutateurs, pour une tension &lt;= 1.000 V (autres que relais et disjoncteurs)")</f>
        <v xml:space="preserve">   Interrupteurs, sectionneurs et commutateurs, pour une tension &lt;= 1.000 V (autres que relais et disjoncteurs)</v>
      </c>
      <c r="C9530">
        <v>1425893</v>
      </c>
      <c r="D9530">
        <v>423</v>
      </c>
    </row>
    <row r="9531" spans="1:4" x14ac:dyDescent="0.25">
      <c r="A9531" t="str">
        <f>T("   853931")</f>
        <v xml:space="preserve">   853931</v>
      </c>
      <c r="B9531" t="str">
        <f>T("   Lampes et tubes à décharge, fluorescents, à cathode chaude")</f>
        <v xml:space="preserve">   Lampes et tubes à décharge, fluorescents, à cathode chaude</v>
      </c>
      <c r="C9531">
        <v>4437343</v>
      </c>
      <c r="D9531">
        <v>26363</v>
      </c>
    </row>
    <row r="9532" spans="1:4" x14ac:dyDescent="0.25">
      <c r="A9532" t="str">
        <f>T("   853949")</f>
        <v xml:space="preserve">   853949</v>
      </c>
      <c r="B9532" t="str">
        <f>T("   Lampes et tubes à rayons ultraviolets ou infrarouges")</f>
        <v xml:space="preserve">   Lampes et tubes à rayons ultraviolets ou infrarouges</v>
      </c>
      <c r="C9532">
        <v>15390934</v>
      </c>
      <c r="D9532">
        <v>2816</v>
      </c>
    </row>
    <row r="9533" spans="1:4" x14ac:dyDescent="0.25">
      <c r="A9533" t="str">
        <f>T("   854381")</f>
        <v xml:space="preserve">   854381</v>
      </c>
      <c r="B9533" t="str">
        <f>T("   Cartes et étiquettes à déclenchement par effet de proximité, constituées par un circuit intégré à mémoire morte relié à une antenne imprimée")</f>
        <v xml:space="preserve">   Cartes et étiquettes à déclenchement par effet de proximité, constituées par un circuit intégré à mémoire morte relié à une antenne imprimée</v>
      </c>
      <c r="C9533">
        <v>2953788</v>
      </c>
      <c r="D9533">
        <v>191</v>
      </c>
    </row>
    <row r="9534" spans="1:4" x14ac:dyDescent="0.25">
      <c r="A9534" t="str">
        <f>T("   854449")</f>
        <v xml:space="preserve">   854449</v>
      </c>
      <c r="B9534" t="str">
        <f>T("   CONDUCTEURS ÉLECTRIQUES, POUR TENSION &lt;= 1.000 V, ISOLÉS, SANS PIÈCES DE CONNEXION, N.D.A.")</f>
        <v xml:space="preserve">   CONDUCTEURS ÉLECTRIQUES, POUR TENSION &lt;= 1.000 V, ISOLÉS, SANS PIÈCES DE CONNEXION, N.D.A.</v>
      </c>
      <c r="C9534">
        <v>473872</v>
      </c>
      <c r="D9534">
        <v>61</v>
      </c>
    </row>
    <row r="9535" spans="1:4" x14ac:dyDescent="0.25">
      <c r="A9535" t="str">
        <f>T("   870120")</f>
        <v xml:space="preserve">   870120</v>
      </c>
      <c r="B9535" t="str">
        <f>T("   Tracteurs routiers pour semi-remorques")</f>
        <v xml:space="preserve">   Tracteurs routiers pour semi-remorques</v>
      </c>
      <c r="C9535">
        <v>1452449</v>
      </c>
      <c r="D9535">
        <v>5000</v>
      </c>
    </row>
    <row r="9536" spans="1:4" x14ac:dyDescent="0.25">
      <c r="A9536" t="str">
        <f>T("   870322")</f>
        <v xml:space="preserve">   870322</v>
      </c>
      <c r="B9536" t="s">
        <v>480</v>
      </c>
      <c r="C9536">
        <v>16503000</v>
      </c>
      <c r="D9536">
        <v>13917</v>
      </c>
    </row>
    <row r="9537" spans="1:4" x14ac:dyDescent="0.25">
      <c r="A9537" t="str">
        <f>T("   870323")</f>
        <v xml:space="preserve">   870323</v>
      </c>
      <c r="B9537" t="s">
        <v>481</v>
      </c>
      <c r="C9537">
        <v>1597059</v>
      </c>
      <c r="D9537">
        <v>1701</v>
      </c>
    </row>
    <row r="9538" spans="1:4" x14ac:dyDescent="0.25">
      <c r="A9538" t="str">
        <f>T("   870840")</f>
        <v xml:space="preserve">   870840</v>
      </c>
      <c r="B9538" t="str">
        <f>T("   BOÎTES DE VITESSE ET LEURS PARTIES, POUR TRACTEURS, VÉHICULES POUR LE TRANSPORT DE &gt;= 10 PERSONNES, CHAUFFEUR INCLUS, VOITURES DE TOURISME, VÉHICULES POUR LE TRANSPORT DE MARCHANDISES ET VÉHICULES À USAGES SPÉCIAUX, N.D.A.")</f>
        <v xml:space="preserve">   BOÎTES DE VITESSE ET LEURS PARTIES, POUR TRACTEURS, VÉHICULES POUR LE TRANSPORT DE &gt;= 10 PERSONNES, CHAUFFEUR INCLUS, VOITURES DE TOURISME, VÉHICULES POUR LE TRANSPORT DE MARCHANDISES ET VÉHICULES À USAGES SPÉCIAUX, N.D.A.</v>
      </c>
      <c r="C9538">
        <v>11929190</v>
      </c>
      <c r="D9538">
        <v>114</v>
      </c>
    </row>
    <row r="9539" spans="1:4" x14ac:dyDescent="0.25">
      <c r="A9539" t="str">
        <f>T("   870899")</f>
        <v xml:space="preserve">   870899</v>
      </c>
      <c r="B9539"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9539">
        <v>11346468</v>
      </c>
      <c r="D9539">
        <v>1095</v>
      </c>
    </row>
    <row r="9540" spans="1:4" x14ac:dyDescent="0.25">
      <c r="A9540" t="str">
        <f>T("   871639")</f>
        <v xml:space="preserve">   871639</v>
      </c>
      <c r="B9540" t="str">
        <f>T("   Remorques ne circulant pas sur rails, pour le transport des marchandises (sauf remorques destinées à des usages agricoles, remorques autochargeuses ou autodéchargeuses et remorques-citernes)")</f>
        <v xml:space="preserve">   Remorques ne circulant pas sur rails, pour le transport des marchandises (sauf remorques destinées à des usages agricoles, remorques autochargeuses ou autodéchargeuses et remorques-citernes)</v>
      </c>
      <c r="C9540">
        <v>1708142</v>
      </c>
      <c r="D9540">
        <v>3500</v>
      </c>
    </row>
    <row r="9541" spans="1:4" x14ac:dyDescent="0.25">
      <c r="A9541" t="str">
        <f>T("   871640")</f>
        <v xml:space="preserve">   871640</v>
      </c>
      <c r="B9541"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9541">
        <v>4451382</v>
      </c>
      <c r="D9541">
        <v>5750</v>
      </c>
    </row>
    <row r="9542" spans="1:4" x14ac:dyDescent="0.25">
      <c r="A9542" t="str">
        <f>T("   903289")</f>
        <v xml:space="preserve">   903289</v>
      </c>
      <c r="B9542" t="s">
        <v>508</v>
      </c>
      <c r="C9542">
        <v>1625469</v>
      </c>
      <c r="D9542">
        <v>25</v>
      </c>
    </row>
    <row r="9543" spans="1:4" x14ac:dyDescent="0.25">
      <c r="A9543" t="str">
        <f>T("SG")</f>
        <v>SG</v>
      </c>
      <c r="B9543" t="str">
        <f>T("Singapour")</f>
        <v>Singapour</v>
      </c>
    </row>
    <row r="9544" spans="1:4" x14ac:dyDescent="0.25">
      <c r="A9544" t="str">
        <f>T("   ZZ_Total_Produit_SH6")</f>
        <v xml:space="preserve">   ZZ_Total_Produit_SH6</v>
      </c>
      <c r="B9544" t="str">
        <f>T("   ZZ_Total_Produit_SH6")</f>
        <v xml:space="preserve">   ZZ_Total_Produit_SH6</v>
      </c>
      <c r="C9544">
        <v>11795256536.686001</v>
      </c>
      <c r="D9544">
        <v>35568924.490000002</v>
      </c>
    </row>
    <row r="9545" spans="1:4" x14ac:dyDescent="0.25">
      <c r="A9545" t="str">
        <f>T("   091010")</f>
        <v xml:space="preserve">   091010</v>
      </c>
      <c r="B9545" t="str">
        <f>T("   Gingembre")</f>
        <v xml:space="preserve">   Gingembre</v>
      </c>
      <c r="C9545">
        <v>1082852</v>
      </c>
      <c r="D9545">
        <v>50000</v>
      </c>
    </row>
    <row r="9546" spans="1:4" x14ac:dyDescent="0.25">
      <c r="A9546" t="str">
        <f>T("   100630")</f>
        <v xml:space="preserve">   100630</v>
      </c>
      <c r="B9546" t="str">
        <f>T("   Riz semi-blanchi ou blanchi, même poli ou glacé")</f>
        <v xml:space="preserve">   Riz semi-blanchi ou blanchi, même poli ou glacé</v>
      </c>
      <c r="C9546">
        <v>1217390742.017</v>
      </c>
      <c r="D9546">
        <v>4765000</v>
      </c>
    </row>
    <row r="9547" spans="1:4" x14ac:dyDescent="0.25">
      <c r="A9547" t="str">
        <f>T("   100640")</f>
        <v xml:space="preserve">   100640</v>
      </c>
      <c r="B9547" t="str">
        <f>T("   Riz en brisures")</f>
        <v xml:space="preserve">   Riz en brisures</v>
      </c>
      <c r="C9547">
        <v>62784131.123000003</v>
      </c>
      <c r="D9547">
        <v>250240</v>
      </c>
    </row>
    <row r="9548" spans="1:4" x14ac:dyDescent="0.25">
      <c r="A9548" t="str">
        <f>T("   150890")</f>
        <v xml:space="preserve">   150890</v>
      </c>
      <c r="B9548" t="str">
        <f>T("   Huile d'arachide et ses fractions, même raffinées, mais non chimiquement modifiées (à l'excl. de l'huile d'arachide brute)")</f>
        <v xml:space="preserve">   Huile d'arachide et ses fractions, même raffinées, mais non chimiquement modifiées (à l'excl. de l'huile d'arachide brute)</v>
      </c>
      <c r="C9548">
        <v>940676382.79299998</v>
      </c>
      <c r="D9548">
        <v>2836952</v>
      </c>
    </row>
    <row r="9549" spans="1:4" x14ac:dyDescent="0.25">
      <c r="A9549" t="str">
        <f>T("   151190")</f>
        <v xml:space="preserve">   151190</v>
      </c>
      <c r="B9549" t="str">
        <f>T("   Huile de palme et ses fractions, même raffinées, mais non chimiquement modifiées (à l'excl. de l'huile de palme brute)")</f>
        <v xml:space="preserve">   Huile de palme et ses fractions, même raffinées, mais non chimiquement modifiées (à l'excl. de l'huile de palme brute)</v>
      </c>
      <c r="C9549">
        <v>6030193316.7519999</v>
      </c>
      <c r="D9549">
        <v>19578134</v>
      </c>
    </row>
    <row r="9550" spans="1:4" x14ac:dyDescent="0.25">
      <c r="A9550" t="str">
        <f>T("   151620")</f>
        <v xml:space="preserve">   151620</v>
      </c>
      <c r="B9550"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9550">
        <v>286001849</v>
      </c>
      <c r="D9550">
        <v>1433859</v>
      </c>
    </row>
    <row r="9551" spans="1:4" x14ac:dyDescent="0.25">
      <c r="A9551" t="str">
        <f>T("   190230")</f>
        <v xml:space="preserve">   190230</v>
      </c>
      <c r="B9551" t="str">
        <f>T("   Pâtes alimentaires, cuites ou autrement préparées (à l'excl. des pâtes alimentaires farcies)")</f>
        <v xml:space="preserve">   Pâtes alimentaires, cuites ou autrement préparées (à l'excl. des pâtes alimentaires farcies)</v>
      </c>
      <c r="C9551">
        <v>21610602</v>
      </c>
      <c r="D9551">
        <v>133250</v>
      </c>
    </row>
    <row r="9552" spans="1:4" x14ac:dyDescent="0.25">
      <c r="A9552" t="str">
        <f>T("   190531")</f>
        <v xml:space="preserve">   190531</v>
      </c>
      <c r="B9552" t="str">
        <f>T("   Biscuits additionnés d'édulcorants")</f>
        <v xml:space="preserve">   Biscuits additionnés d'édulcorants</v>
      </c>
      <c r="C9552">
        <v>10853574</v>
      </c>
      <c r="D9552">
        <v>16283</v>
      </c>
    </row>
    <row r="9553" spans="1:4" x14ac:dyDescent="0.25">
      <c r="A9553" t="str">
        <f>T("   200949")</f>
        <v xml:space="preserve">   200949</v>
      </c>
      <c r="B9553" t="str">
        <f>T("   JUS D'ANANAS, NON-FERMENTÉS, SANS ADDITION D'ALCOOL, AVEC OU SANS ADDITION DE SUCRE OU D'AUTRES ÉDULCORANTS, D'UNE VALEUR BRIX &gt; 20 À 20°C")</f>
        <v xml:space="preserve">   JUS D'ANANAS, NON-FERMENTÉS, SANS ADDITION D'ALCOOL, AVEC OU SANS ADDITION DE SUCRE OU D'AUTRES ÉDULCORANTS, D'UNE VALEUR BRIX &gt; 20 À 20°C</v>
      </c>
      <c r="C9553">
        <v>6078613</v>
      </c>
      <c r="D9553">
        <v>18415</v>
      </c>
    </row>
    <row r="9554" spans="1:4" x14ac:dyDescent="0.25">
      <c r="A9554" t="str">
        <f>T("   220600")</f>
        <v xml:space="preserve">   220600</v>
      </c>
      <c r="B9554" t="s">
        <v>60</v>
      </c>
      <c r="C9554">
        <v>3936902</v>
      </c>
      <c r="D9554">
        <v>18855</v>
      </c>
    </row>
    <row r="9555" spans="1:4" x14ac:dyDescent="0.25">
      <c r="A9555" t="str">
        <f>T("   300490")</f>
        <v xml:space="preserve">   300490</v>
      </c>
      <c r="B9555" t="s">
        <v>80</v>
      </c>
      <c r="C9555">
        <v>3134838</v>
      </c>
      <c r="D9555">
        <v>96</v>
      </c>
    </row>
    <row r="9556" spans="1:4" x14ac:dyDescent="0.25">
      <c r="A9556" t="str">
        <f>T("   321511")</f>
        <v xml:space="preserve">   321511</v>
      </c>
      <c r="B9556" t="str">
        <f>T("   Encres d'imprimerie, noires, même concentrées ou sous formes solides")</f>
        <v xml:space="preserve">   Encres d'imprimerie, noires, même concentrées ou sous formes solides</v>
      </c>
      <c r="C9556">
        <v>1134761</v>
      </c>
      <c r="D9556">
        <v>1210</v>
      </c>
    </row>
    <row r="9557" spans="1:4" x14ac:dyDescent="0.25">
      <c r="A9557" t="str">
        <f>T("   321519")</f>
        <v xml:space="preserve">   321519</v>
      </c>
      <c r="B9557" t="str">
        <f>T("   Encres d'imprimerie, même concentrées ou sous formes solides (à l'excl. des encres noires)")</f>
        <v xml:space="preserve">   Encres d'imprimerie, même concentrées ou sous formes solides (à l'excl. des encres noires)</v>
      </c>
      <c r="C9557">
        <v>2367218</v>
      </c>
      <c r="D9557">
        <v>2400</v>
      </c>
    </row>
    <row r="9558" spans="1:4" x14ac:dyDescent="0.25">
      <c r="A9558" t="str">
        <f>T("   321590")</f>
        <v xml:space="preserve">   321590</v>
      </c>
      <c r="B9558" t="str">
        <f>T("   Encres à écrire et à dessiner, même concentrées ou sous formes solides")</f>
        <v xml:space="preserve">   Encres à écrire et à dessiner, même concentrées ou sous formes solides</v>
      </c>
      <c r="C9558">
        <v>932927</v>
      </c>
      <c r="D9558">
        <v>1535</v>
      </c>
    </row>
    <row r="9559" spans="1:4" x14ac:dyDescent="0.25">
      <c r="A9559" t="str">
        <f>T("   340219")</f>
        <v xml:space="preserve">   340219</v>
      </c>
      <c r="B9559" t="str">
        <f>T("   Agents de surface organiques, même conditionnés pour la vente au détail (à l'excl. des savons et des agents de surface anioniques, cationiques ou non ioniques)")</f>
        <v xml:space="preserve">   Agents de surface organiques, même conditionnés pour la vente au détail (à l'excl. des savons et des agents de surface anioniques, cationiques ou non ioniques)</v>
      </c>
      <c r="C9559">
        <v>292401227</v>
      </c>
      <c r="D9559">
        <v>796609</v>
      </c>
    </row>
    <row r="9560" spans="1:4" x14ac:dyDescent="0.25">
      <c r="A9560" t="str">
        <f>T("   340220")</f>
        <v xml:space="preserve">   340220</v>
      </c>
      <c r="B9560" t="s">
        <v>104</v>
      </c>
      <c r="C9560">
        <v>29559862</v>
      </c>
      <c r="D9560">
        <v>86400</v>
      </c>
    </row>
    <row r="9561" spans="1:4" x14ac:dyDescent="0.25">
      <c r="A9561" t="str">
        <f>T("   370130")</f>
        <v xml:space="preserve">   370130</v>
      </c>
      <c r="B9561" t="str">
        <f>T("   Plaques et films plans, photographiques, sensibilisés, non impressionnés, dont la dimension d'au moins un côté &gt; 255 mm")</f>
        <v xml:space="preserve">   Plaques et films plans, photographiques, sensibilisés, non impressionnés, dont la dimension d'au moins un côté &gt; 255 mm</v>
      </c>
      <c r="C9561">
        <v>4410039</v>
      </c>
      <c r="D9561">
        <v>3500</v>
      </c>
    </row>
    <row r="9562" spans="1:4" x14ac:dyDescent="0.25">
      <c r="A9562" t="str">
        <f>T("   382490")</f>
        <v xml:space="preserve">   382490</v>
      </c>
      <c r="B9562" t="str">
        <f>T("   Produits chimiques et préparations des industries chimiques ou des industries connexes, y.c. celles consistant en mélanges de produits naturels, n.d.a.")</f>
        <v xml:space="preserve">   Produits chimiques et préparations des industries chimiques ou des industries connexes, y.c. celles consistant en mélanges de produits naturels, n.d.a.</v>
      </c>
      <c r="C9562">
        <v>64679</v>
      </c>
      <c r="D9562">
        <v>70</v>
      </c>
    </row>
    <row r="9563" spans="1:4" x14ac:dyDescent="0.25">
      <c r="A9563" t="str">
        <f>T("   391910")</f>
        <v xml:space="preserve">   391910</v>
      </c>
      <c r="B9563" t="str">
        <f>T("   Feuilles, bandes, rubans, pellicules et autres formes plates, auto-adhésifs, en matières plastiques, en rouleaux d'une largeur &lt;= 20 cm")</f>
        <v xml:space="preserve">   Feuilles, bandes, rubans, pellicules et autres formes plates, auto-adhésifs, en matières plastiques, en rouleaux d'une largeur &lt;= 20 cm</v>
      </c>
      <c r="C9563">
        <v>40105989</v>
      </c>
      <c r="D9563">
        <v>76342</v>
      </c>
    </row>
    <row r="9564" spans="1:4" x14ac:dyDescent="0.25">
      <c r="A9564" t="str">
        <f>T("   392020")</f>
        <v xml:space="preserve">   392020</v>
      </c>
      <c r="B9564" t="s">
        <v>135</v>
      </c>
      <c r="C9564">
        <v>2137130</v>
      </c>
      <c r="D9564">
        <v>2393</v>
      </c>
    </row>
    <row r="9565" spans="1:4" x14ac:dyDescent="0.25">
      <c r="A9565" t="str">
        <f>T("   392310")</f>
        <v xml:space="preserve">   392310</v>
      </c>
      <c r="B9565" t="str">
        <f>T("   Boîtes, caisses, casiers et articles simil. pour le transport ou l'emballage, en matières plastiques")</f>
        <v xml:space="preserve">   Boîtes, caisses, casiers et articles simil. pour le transport ou l'emballage, en matières plastiques</v>
      </c>
      <c r="C9565">
        <v>896</v>
      </c>
      <c r="D9565">
        <v>7</v>
      </c>
    </row>
    <row r="9566" spans="1:4" x14ac:dyDescent="0.25">
      <c r="A9566" t="str">
        <f>T("   392321")</f>
        <v xml:space="preserve">   392321</v>
      </c>
      <c r="B9566" t="str">
        <f>T("   Sacs, sachets, pochettes et cornets, en polymères de l'éthylène")</f>
        <v xml:space="preserve">   Sacs, sachets, pochettes et cornets, en polymères de l'éthylène</v>
      </c>
      <c r="C9566">
        <v>13908</v>
      </c>
      <c r="D9566">
        <v>4</v>
      </c>
    </row>
    <row r="9567" spans="1:4" x14ac:dyDescent="0.25">
      <c r="A9567" t="str">
        <f>T("   392329")</f>
        <v xml:space="preserve">   392329</v>
      </c>
      <c r="B9567" t="str">
        <f>T("   Sacs, sachets, pochettes et cornets, en matières plastiques (autres que les polymères de l'éthylène)")</f>
        <v xml:space="preserve">   Sacs, sachets, pochettes et cornets, en matières plastiques (autres que les polymères de l'éthylène)</v>
      </c>
      <c r="C9567">
        <v>332384</v>
      </c>
      <c r="D9567">
        <v>874</v>
      </c>
    </row>
    <row r="9568" spans="1:4" x14ac:dyDescent="0.25">
      <c r="A9568" t="str">
        <f>T("   392390")</f>
        <v xml:space="preserve">   392390</v>
      </c>
      <c r="B9568" t="s">
        <v>150</v>
      </c>
      <c r="C9568">
        <v>58993</v>
      </c>
      <c r="D9568">
        <v>85</v>
      </c>
    </row>
    <row r="9569" spans="1:4" x14ac:dyDescent="0.25">
      <c r="A9569" t="str">
        <f>T("   392490")</f>
        <v xml:space="preserve">   392490</v>
      </c>
      <c r="B9569" t="s">
        <v>151</v>
      </c>
      <c r="C9569">
        <v>500000</v>
      </c>
      <c r="D9569">
        <v>100</v>
      </c>
    </row>
    <row r="9570" spans="1:4" x14ac:dyDescent="0.25">
      <c r="A9570" t="str">
        <f>T("   392610")</f>
        <v xml:space="preserve">   392610</v>
      </c>
      <c r="B9570" t="str">
        <f>T("   Articles de bureau et articles scolaires, en matières plastiques, n.d.a.")</f>
        <v xml:space="preserve">   Articles de bureau et articles scolaires, en matières plastiques, n.d.a.</v>
      </c>
      <c r="C9570">
        <v>8951526</v>
      </c>
      <c r="D9570">
        <v>8472</v>
      </c>
    </row>
    <row r="9571" spans="1:4" x14ac:dyDescent="0.25">
      <c r="A9571" t="str">
        <f>T("   392690")</f>
        <v xml:space="preserve">   392690</v>
      </c>
      <c r="B9571" t="str">
        <f>T("   Ouvrages en matières plastiques et ouvrages en autres matières du n° 3901 à 3914, n.d.a.")</f>
        <v xml:space="preserve">   Ouvrages en matières plastiques et ouvrages en autres matières du n° 3901 à 3914, n.d.a.</v>
      </c>
      <c r="C9571">
        <v>2867750</v>
      </c>
      <c r="D9571">
        <v>6778</v>
      </c>
    </row>
    <row r="9572" spans="1:4" x14ac:dyDescent="0.25">
      <c r="A9572" t="str">
        <f>T("   401120")</f>
        <v xml:space="preserve">   401120</v>
      </c>
      <c r="B9572"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9572">
        <v>19195457</v>
      </c>
      <c r="D9572">
        <v>15640</v>
      </c>
    </row>
    <row r="9573" spans="1:4" x14ac:dyDescent="0.25">
      <c r="A9573" t="str">
        <f>T("   401211")</f>
        <v xml:space="preserve">   401211</v>
      </c>
      <c r="B9573" t="str">
        <f>T("   Pneumatiques rechapés, en caoutchouc, des types utilisés pour les voitures de tourisme, y.c. les voitures du type 'break' et les voitures de course")</f>
        <v xml:space="preserve">   Pneumatiques rechapés, en caoutchouc, des types utilisés pour les voitures de tourisme, y.c. les voitures du type 'break' et les voitures de course</v>
      </c>
      <c r="C9573">
        <v>2625000</v>
      </c>
      <c r="D9573">
        <v>11000</v>
      </c>
    </row>
    <row r="9574" spans="1:4" x14ac:dyDescent="0.25">
      <c r="A9574" t="str">
        <f>T("   401220")</f>
        <v xml:space="preserve">   401220</v>
      </c>
      <c r="B9574" t="str">
        <f>T("   Pneumatiques usagés, en caoutchouc")</f>
        <v xml:space="preserve">   Pneumatiques usagés, en caoutchouc</v>
      </c>
      <c r="C9574">
        <v>25300377</v>
      </c>
      <c r="D9574">
        <v>72000</v>
      </c>
    </row>
    <row r="9575" spans="1:4" x14ac:dyDescent="0.25">
      <c r="A9575" t="str">
        <f>T("   420219")</f>
        <v xml:space="preserve">   420219</v>
      </c>
      <c r="B9575" t="s">
        <v>162</v>
      </c>
      <c r="C9575">
        <v>62986</v>
      </c>
      <c r="D9575">
        <v>132</v>
      </c>
    </row>
    <row r="9576" spans="1:4" x14ac:dyDescent="0.25">
      <c r="A9576" t="str">
        <f>T("   420239")</f>
        <v xml:space="preserve">   420239</v>
      </c>
      <c r="B9576" t="s">
        <v>163</v>
      </c>
      <c r="C9576">
        <v>55605</v>
      </c>
      <c r="D9576">
        <v>50</v>
      </c>
    </row>
    <row r="9577" spans="1:4" x14ac:dyDescent="0.25">
      <c r="A9577" t="str">
        <f>T("   480100")</f>
        <v xml:space="preserve">   480100</v>
      </c>
      <c r="B9577" t="str">
        <f>T("   Papier journal, en rouleaux d'une largeur &gt; 36 cm ou en feuilles de forme carrée ou rectangulaire dont au moins un coté &gt; 36 cm et l'autre &gt; 15 cm à l'état non plié")</f>
        <v xml:space="preserve">   Papier journal, en rouleaux d'une largeur &gt; 36 cm ou en feuilles de forme carrée ou rectangulaire dont au moins un coté &gt; 36 cm et l'autre &gt; 15 cm à l'état non plié</v>
      </c>
      <c r="C9577">
        <v>10476178</v>
      </c>
      <c r="D9577">
        <v>29597</v>
      </c>
    </row>
    <row r="9578" spans="1:4" x14ac:dyDescent="0.25">
      <c r="A9578" t="str">
        <f>T("   480255")</f>
        <v xml:space="preserve">   480255</v>
      </c>
      <c r="B9578" t="s">
        <v>193</v>
      </c>
      <c r="C9578">
        <v>170639336</v>
      </c>
      <c r="D9578">
        <v>348040</v>
      </c>
    </row>
    <row r="9579" spans="1:4" x14ac:dyDescent="0.25">
      <c r="A9579" t="str">
        <f>T("   480256")</f>
        <v xml:space="preserve">   480256</v>
      </c>
      <c r="B9579" t="s">
        <v>194</v>
      </c>
      <c r="C9579">
        <v>181810320</v>
      </c>
      <c r="D9579">
        <v>429418</v>
      </c>
    </row>
    <row r="9580" spans="1:4" x14ac:dyDescent="0.25">
      <c r="A9580" t="str">
        <f>T("   480257")</f>
        <v xml:space="preserve">   480257</v>
      </c>
      <c r="B9580" t="s">
        <v>195</v>
      </c>
      <c r="C9580">
        <v>255338474</v>
      </c>
      <c r="D9580">
        <v>529139</v>
      </c>
    </row>
    <row r="9581" spans="1:4" x14ac:dyDescent="0.25">
      <c r="A9581" t="str">
        <f>T("   480258")</f>
        <v xml:space="preserve">   480258</v>
      </c>
      <c r="B9581" t="s">
        <v>196</v>
      </c>
      <c r="C9581">
        <v>98697692</v>
      </c>
      <c r="D9581">
        <v>200458</v>
      </c>
    </row>
    <row r="9582" spans="1:4" x14ac:dyDescent="0.25">
      <c r="A9582" t="str">
        <f>T("   480459")</f>
        <v xml:space="preserve">   480459</v>
      </c>
      <c r="B9582" t="s">
        <v>202</v>
      </c>
      <c r="C9582">
        <v>4408060</v>
      </c>
      <c r="D9582">
        <v>13738</v>
      </c>
    </row>
    <row r="9583" spans="1:4" x14ac:dyDescent="0.25">
      <c r="A9583" t="str">
        <f>T("   480525")</f>
        <v xml:space="preserve">   480525</v>
      </c>
      <c r="B9583" t="str">
        <f>T("   Testliner [fibres récupérées], non couchés ni enduits, en rouleaux d'une largeur &gt; 36 cm ou en feuilles de forme carrée ou rectangulaire dont au moins un coté &gt; 36 cm et l'autre &gt; 15 cm à l'état non plié,  d'un poids &gt; 150 g/m²")</f>
        <v xml:space="preserve">   Testliner [fibres récupérées], non couchés ni enduits, en rouleaux d'une largeur &gt; 36 cm ou en feuilles de forme carrée ou rectangulaire dont au moins un coté &gt; 36 cm et l'autre &gt; 15 cm à l'état non plié,  d'un poids &gt; 150 g/m²</v>
      </c>
      <c r="C9583">
        <v>11139408</v>
      </c>
      <c r="D9583">
        <v>16136</v>
      </c>
    </row>
    <row r="9584" spans="1:4" x14ac:dyDescent="0.25">
      <c r="A9584" t="str">
        <f>T("   480593")</f>
        <v xml:space="preserve">   480593</v>
      </c>
      <c r="B9584" t="str">
        <f>T("   PAPIERS ET CARTONS, NON-COUCHÉS NI ENDUITS, EN ROULEAUX D'UNE LARGEUR &gt; 36 CM OU EN FEUILLES DE FORME CARRÉE OU RECTANGULAIRE DONT AU MOINS UN CÔTÉ &gt; 36 CM ET L'AUTRE &gt; 15 CM À L'ÉTAT NON-PLIÉ, D'UN POIDS &gt;= 225 G/M², N.D.A.")</f>
        <v xml:space="preserve">   PAPIERS ET CARTONS, NON-COUCHÉS NI ENDUITS, EN ROULEAUX D'UNE LARGEUR &gt; 36 CM OU EN FEUILLES DE FORME CARRÉE OU RECTANGULAIRE DONT AU MOINS UN CÔTÉ &gt; 36 CM ET L'AUTRE &gt; 15 CM À L'ÉTAT NON-PLIÉ, D'UN POIDS &gt;= 225 G/M², N.D.A.</v>
      </c>
      <c r="C9584">
        <v>56870585</v>
      </c>
      <c r="D9584">
        <v>171984</v>
      </c>
    </row>
    <row r="9585" spans="1:4" x14ac:dyDescent="0.25">
      <c r="A9585" t="str">
        <f>T("   480920")</f>
        <v xml:space="preserve">   480920</v>
      </c>
      <c r="B9585" t="str">
        <f>T("   PAPIERS DITS 'AUTOCOPIANTS', MÊME IMPRIMÉS, EN ROULEAUX D'UNE LARGEUR &gt; 36 CM OU EN FEUILLES DE FORME CARRÉE OU RECTANGULAIRE DONT UN CÔTÉ AU MOINS &gt; 36 CM À L'ÉTAT NON-PLIÉ (À L'EXCL. DES PAPIERS CARBONE ET DES PAPIERS SIMIL.)")</f>
        <v xml:space="preserve">   PAPIERS DITS 'AUTOCOPIANTS', MÊME IMPRIMÉS, EN ROULEAUX D'UNE LARGEUR &gt; 36 CM OU EN FEUILLES DE FORME CARRÉE OU RECTANGULAIRE DONT UN CÔTÉ AU MOINS &gt; 36 CM À L'ÉTAT NON-PLIÉ (À L'EXCL. DES PAPIERS CARBONE ET DES PAPIERS SIMIL.)</v>
      </c>
      <c r="C9585">
        <v>67827575</v>
      </c>
      <c r="D9585">
        <v>83380</v>
      </c>
    </row>
    <row r="9586" spans="1:4" x14ac:dyDescent="0.25">
      <c r="A9586" t="str">
        <f>T("   481019")</f>
        <v xml:space="preserve">   481019</v>
      </c>
      <c r="B9586" t="s">
        <v>208</v>
      </c>
      <c r="C9586">
        <v>1497135</v>
      </c>
      <c r="D9586">
        <v>2646</v>
      </c>
    </row>
    <row r="9587" spans="1:4" x14ac:dyDescent="0.25">
      <c r="A9587" t="str">
        <f>T("   481029")</f>
        <v xml:space="preserve">   481029</v>
      </c>
      <c r="B9587" t="s">
        <v>209</v>
      </c>
      <c r="C9587">
        <v>138794817</v>
      </c>
      <c r="D9587">
        <v>267486.69</v>
      </c>
    </row>
    <row r="9588" spans="1:4" x14ac:dyDescent="0.25">
      <c r="A9588" t="str">
        <f>T("   481092")</f>
        <v xml:space="preserve">   481092</v>
      </c>
      <c r="B9588" t="s">
        <v>210</v>
      </c>
      <c r="C9588">
        <v>102898957</v>
      </c>
      <c r="D9588">
        <v>330704</v>
      </c>
    </row>
    <row r="9589" spans="1:4" x14ac:dyDescent="0.25">
      <c r="A9589" t="str">
        <f>T("   481099")</f>
        <v xml:space="preserve">   481099</v>
      </c>
      <c r="B9589" t="s">
        <v>211</v>
      </c>
      <c r="C9589">
        <v>22071552</v>
      </c>
      <c r="D9589">
        <v>39060</v>
      </c>
    </row>
    <row r="9590" spans="1:4" x14ac:dyDescent="0.25">
      <c r="A9590" t="str">
        <f>T("   481710")</f>
        <v xml:space="preserve">   481710</v>
      </c>
      <c r="B9590" t="str">
        <f>T("   Enveloppes, en papier ou en carton")</f>
        <v xml:space="preserve">   Enveloppes, en papier ou en carton</v>
      </c>
      <c r="C9590">
        <v>1825197</v>
      </c>
      <c r="D9590">
        <v>2700</v>
      </c>
    </row>
    <row r="9591" spans="1:4" x14ac:dyDescent="0.25">
      <c r="A9591" t="str">
        <f>T("   481910")</f>
        <v xml:space="preserve">   481910</v>
      </c>
      <c r="B9591" t="str">
        <f>T("   Boîtes et caisses en papier ou en carton ondulé")</f>
        <v xml:space="preserve">   Boîtes et caisses en papier ou en carton ondulé</v>
      </c>
      <c r="C9591">
        <v>22017807</v>
      </c>
      <c r="D9591">
        <v>45353</v>
      </c>
    </row>
    <row r="9592" spans="1:4" x14ac:dyDescent="0.25">
      <c r="A9592" t="str">
        <f>T("   481920")</f>
        <v xml:space="preserve">   481920</v>
      </c>
      <c r="B9592" t="str">
        <f>T("   Boîtes et cartonnages, pliants, en papier ou en carton non ondulé")</f>
        <v xml:space="preserve">   Boîtes et cartonnages, pliants, en papier ou en carton non ondulé</v>
      </c>
      <c r="C9592">
        <v>492257</v>
      </c>
      <c r="D9592">
        <v>492</v>
      </c>
    </row>
    <row r="9593" spans="1:4" x14ac:dyDescent="0.25">
      <c r="A9593" t="str">
        <f>T("   481960")</f>
        <v xml:space="preserve">   481960</v>
      </c>
      <c r="B9593" t="str">
        <f>T("   Cartonnages de bureau, de magasin ou simil., rigides (à l'excl. des emballages)")</f>
        <v xml:space="preserve">   Cartonnages de bureau, de magasin ou simil., rigides (à l'excl. des emballages)</v>
      </c>
      <c r="C9593">
        <v>58993</v>
      </c>
      <c r="D9593">
        <v>85</v>
      </c>
    </row>
    <row r="9594" spans="1:4" x14ac:dyDescent="0.25">
      <c r="A9594" t="str">
        <f>T("   482010")</f>
        <v xml:space="preserve">   482010</v>
      </c>
      <c r="B9594" t="str">
        <f>T("   Registres, livres comptables, carnets de notes, de commandes ou de quittances, blocs-mémorandums, blocs de papier à lettres, agendas et ouvrages simil., en papier ou carton")</f>
        <v xml:space="preserve">   Registres, livres comptables, carnets de notes, de commandes ou de quittances, blocs-mémorandums, blocs de papier à lettres, agendas et ouvrages simil., en papier ou carton</v>
      </c>
      <c r="C9594">
        <v>5157366</v>
      </c>
      <c r="D9594">
        <v>6700</v>
      </c>
    </row>
    <row r="9595" spans="1:4" x14ac:dyDescent="0.25">
      <c r="A9595" t="str">
        <f>T("   482020")</f>
        <v xml:space="preserve">   482020</v>
      </c>
      <c r="B9595" t="str">
        <f>T("   Cahiers pour l'écriture, en papier ou carton")</f>
        <v xml:space="preserve">   Cahiers pour l'écriture, en papier ou carton</v>
      </c>
      <c r="C9595">
        <v>286848293</v>
      </c>
      <c r="D9595">
        <v>534597</v>
      </c>
    </row>
    <row r="9596" spans="1:4" x14ac:dyDescent="0.25">
      <c r="A9596" t="str">
        <f>T("   482030")</f>
        <v xml:space="preserve">   482030</v>
      </c>
      <c r="B9596" t="str">
        <f>T("   Classeurs, reliures (autres que les couvertures pour livres), chemises et couvertures à dossiers, en papier ou en carton")</f>
        <v xml:space="preserve">   Classeurs, reliures (autres que les couvertures pour livres), chemises et couvertures à dossiers, en papier ou en carton</v>
      </c>
      <c r="C9596">
        <v>40739344</v>
      </c>
      <c r="D9596">
        <v>61232.4</v>
      </c>
    </row>
    <row r="9597" spans="1:4" x14ac:dyDescent="0.25">
      <c r="A9597" t="str">
        <f>T("   482040")</f>
        <v xml:space="preserve">   482040</v>
      </c>
      <c r="B9597" t="str">
        <f>T("   Liasses et carnets manifold, même comportant des feuilles de papier carbone, en papier ou carton")</f>
        <v xml:space="preserve">   Liasses et carnets manifold, même comportant des feuilles de papier carbone, en papier ou carton</v>
      </c>
      <c r="C9597">
        <v>6259674</v>
      </c>
      <c r="D9597">
        <v>1460</v>
      </c>
    </row>
    <row r="9598" spans="1:4" x14ac:dyDescent="0.25">
      <c r="A9598" t="str">
        <f>T("   482090")</f>
        <v xml:space="preserve">   482090</v>
      </c>
      <c r="B9598" t="s">
        <v>219</v>
      </c>
      <c r="C9598">
        <v>7710244</v>
      </c>
      <c r="D9598">
        <v>4902</v>
      </c>
    </row>
    <row r="9599" spans="1:4" x14ac:dyDescent="0.25">
      <c r="A9599" t="str">
        <f>T("   482390")</f>
        <v xml:space="preserve">   482390</v>
      </c>
      <c r="B9599" t="s">
        <v>220</v>
      </c>
      <c r="C9599">
        <v>1092189</v>
      </c>
      <c r="D9599">
        <v>1240</v>
      </c>
    </row>
    <row r="9600" spans="1:4" x14ac:dyDescent="0.25">
      <c r="A9600" t="str">
        <f>T("   490199")</f>
        <v xml:space="preserve">   490199</v>
      </c>
      <c r="B9600"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9600">
        <v>1422425</v>
      </c>
      <c r="D9600">
        <v>1234</v>
      </c>
    </row>
    <row r="9601" spans="1:4" x14ac:dyDescent="0.25">
      <c r="A9601" t="str">
        <f>T("   491000")</f>
        <v xml:space="preserve">   491000</v>
      </c>
      <c r="B9601" t="str">
        <f>T("   Calendriers de tous genres, imprimés, y.c. les blocs de calendriers à effeuiller")</f>
        <v xml:space="preserve">   Calendriers de tous genres, imprimés, y.c. les blocs de calendriers à effeuiller</v>
      </c>
      <c r="C9601">
        <v>100000</v>
      </c>
      <c r="D9601">
        <v>83</v>
      </c>
    </row>
    <row r="9602" spans="1:4" x14ac:dyDescent="0.25">
      <c r="A9602" t="str">
        <f>T("   491110")</f>
        <v xml:space="preserve">   491110</v>
      </c>
      <c r="B9602" t="str">
        <f>T("   Imprimés publicitaires, catalogues commerciaux et simil.")</f>
        <v xml:space="preserve">   Imprimés publicitaires, catalogues commerciaux et simil.</v>
      </c>
      <c r="C9602">
        <v>50402</v>
      </c>
      <c r="D9602">
        <v>100</v>
      </c>
    </row>
    <row r="9603" spans="1:4" x14ac:dyDescent="0.25">
      <c r="A9603" t="str">
        <f>T("   610910")</f>
        <v xml:space="preserve">   610910</v>
      </c>
      <c r="B9603" t="str">
        <f>T("   T-shirts et maillots de corps, en bonneterie, de coton,")</f>
        <v xml:space="preserve">   T-shirts et maillots de corps, en bonneterie, de coton,</v>
      </c>
      <c r="C9603">
        <v>342932</v>
      </c>
      <c r="D9603">
        <v>802</v>
      </c>
    </row>
    <row r="9604" spans="1:4" x14ac:dyDescent="0.25">
      <c r="A9604" t="str">
        <f>T("   610990")</f>
        <v xml:space="preserve">   610990</v>
      </c>
      <c r="B9604" t="str">
        <f>T("   T-shirts et maillots de corps, en bonneterie, de matières textiles (sauf de coton)")</f>
        <v xml:space="preserve">   T-shirts et maillots de corps, en bonneterie, de matières textiles (sauf de coton)</v>
      </c>
      <c r="C9604">
        <v>1337301</v>
      </c>
      <c r="D9604">
        <v>3928</v>
      </c>
    </row>
    <row r="9605" spans="1:4" x14ac:dyDescent="0.25">
      <c r="A9605" t="str">
        <f>T("   630510")</f>
        <v xml:space="preserve">   630510</v>
      </c>
      <c r="B9605" t="str">
        <f>T("   Sacs et sachets d'emballage de jute ou d'autres fibres textiles libériennes du n° 5303")</f>
        <v xml:space="preserve">   Sacs et sachets d'emballage de jute ou d'autres fibres textiles libériennes du n° 5303</v>
      </c>
      <c r="C9605">
        <v>3000210</v>
      </c>
      <c r="D9605">
        <v>39060</v>
      </c>
    </row>
    <row r="9606" spans="1:4" x14ac:dyDescent="0.25">
      <c r="A9606" t="str">
        <f>T("   630533")</f>
        <v xml:space="preserve">   630533</v>
      </c>
      <c r="B9606" t="str">
        <f>T("   Sacs et sachets d'emballage obtenus à partir de lames ou formes simil., de polyéthylène ou polypropylène (à l'excl. des contenants souples pour matières en vrac)")</f>
        <v xml:space="preserve">   Sacs et sachets d'emballage obtenus à partir de lames ou formes simil., de polyéthylène ou polypropylène (à l'excl. des contenants souples pour matières en vrac)</v>
      </c>
      <c r="C9606">
        <v>2396750</v>
      </c>
      <c r="D9606">
        <v>5240</v>
      </c>
    </row>
    <row r="9607" spans="1:4" x14ac:dyDescent="0.25">
      <c r="A9607" t="str">
        <f>T("   630539")</f>
        <v xml:space="preserve">   630539</v>
      </c>
      <c r="B9607" t="str">
        <f>T("   Sacs et sachets d'emballage de matières synthétiques ou artificielles (autres qu'en lames ou formes simil. de polyéthylène ou de polypropylène ainsi que contenants souples pour matières en vrac)")</f>
        <v xml:space="preserve">   Sacs et sachets d'emballage de matières synthétiques ou artificielles (autres qu'en lames ou formes simil. de polyéthylène ou de polypropylène ainsi que contenants souples pour matières en vrac)</v>
      </c>
      <c r="C9607">
        <v>80647</v>
      </c>
      <c r="D9607">
        <v>148</v>
      </c>
    </row>
    <row r="9608" spans="1:4" x14ac:dyDescent="0.25">
      <c r="A9608" t="str">
        <f>T("   630900")</f>
        <v xml:space="preserve">   630900</v>
      </c>
      <c r="B9608" t="s">
        <v>278</v>
      </c>
      <c r="C9608">
        <v>145130701</v>
      </c>
      <c r="D9608">
        <v>300200</v>
      </c>
    </row>
    <row r="9609" spans="1:4" x14ac:dyDescent="0.25">
      <c r="A9609" t="str">
        <f>T("   650590")</f>
        <v xml:space="preserve">   650590</v>
      </c>
      <c r="B9609" t="s">
        <v>290</v>
      </c>
      <c r="C9609">
        <v>703286</v>
      </c>
      <c r="D9609">
        <v>1234</v>
      </c>
    </row>
    <row r="9610" spans="1:4" x14ac:dyDescent="0.25">
      <c r="A9610" t="str">
        <f>T("   660110")</f>
        <v xml:space="preserve">   660110</v>
      </c>
      <c r="B9610" t="str">
        <f>T("   Parasols de jardin et articles simil. (sauf tentes de plage)")</f>
        <v xml:space="preserve">   Parasols de jardin et articles simil. (sauf tentes de plage)</v>
      </c>
      <c r="C9610">
        <v>23009</v>
      </c>
      <c r="D9610">
        <v>307</v>
      </c>
    </row>
    <row r="9611" spans="1:4" x14ac:dyDescent="0.25">
      <c r="A9611" t="str">
        <f>T("   660199")</f>
        <v xml:space="preserve">   660199</v>
      </c>
      <c r="B9611" t="str">
        <f>T("   Parapluies, y.c. les parapluies-cannes et ombrelles (sauf parapluies et ombrelles à mât ou à manche télescopique, parasols de jardin et articles simil. et sauf jouets d'enfants)")</f>
        <v xml:space="preserve">   Parapluies, y.c. les parapluies-cannes et ombrelles (sauf parapluies et ombrelles à mât ou à manche télescopique, parasols de jardin et articles simil. et sauf jouets d'enfants)</v>
      </c>
      <c r="C9611">
        <v>555224</v>
      </c>
      <c r="D9611">
        <v>305</v>
      </c>
    </row>
    <row r="9612" spans="1:4" x14ac:dyDescent="0.25">
      <c r="A9612" t="str">
        <f>T("   690890")</f>
        <v xml:space="preserve">   690890</v>
      </c>
      <c r="B9612" t="s">
        <v>311</v>
      </c>
      <c r="C9612">
        <v>51309565</v>
      </c>
      <c r="D9612">
        <v>405858</v>
      </c>
    </row>
    <row r="9613" spans="1:4" x14ac:dyDescent="0.25">
      <c r="A9613" t="str">
        <f>T("   700529")</f>
        <v xml:space="preserve">   700529</v>
      </c>
      <c r="B9613" t="s">
        <v>318</v>
      </c>
      <c r="C9613">
        <v>4584383</v>
      </c>
      <c r="D9613">
        <v>26680</v>
      </c>
    </row>
    <row r="9614" spans="1:4" x14ac:dyDescent="0.25">
      <c r="A9614" t="str">
        <f>T("   701329")</f>
        <v xml:space="preserve">   701329</v>
      </c>
      <c r="B9614" t="str">
        <f>T("   Verres à boire (autres qu'en vitrocérame, autres qu'en cristal au plomb)")</f>
        <v xml:space="preserve">   Verres à boire (autres qu'en vitrocérame, autres qu'en cristal au plomb)</v>
      </c>
      <c r="C9614">
        <v>157470</v>
      </c>
      <c r="D9614">
        <v>329</v>
      </c>
    </row>
    <row r="9615" spans="1:4" x14ac:dyDescent="0.25">
      <c r="A9615" t="str">
        <f>T("   721049")</f>
        <v xml:space="preserve">   721049</v>
      </c>
      <c r="B9615" t="str">
        <f>T("   Produits laminés plats, en fer ou en aciers non alliés, d'une largeur &gt;= 600 mm, laminés à chaud ou à froid, zingués, non ondulés (à l'excl. des produits zingués électrolytiquement)")</f>
        <v xml:space="preserve">   Produits laminés plats, en fer ou en aciers non alliés, d'une largeur &gt;= 600 mm, laminés à chaud ou à froid, zingués, non ondulés (à l'excl. des produits zingués électrolytiquement)</v>
      </c>
      <c r="C9615">
        <v>207852521</v>
      </c>
      <c r="D9615">
        <v>347710</v>
      </c>
    </row>
    <row r="9616" spans="1:4" x14ac:dyDescent="0.25">
      <c r="A9616" t="str">
        <f>T("   732111")</f>
        <v xml:space="preserve">   732111</v>
      </c>
      <c r="B9616" t="s">
        <v>361</v>
      </c>
      <c r="C9616">
        <v>6576682</v>
      </c>
      <c r="D9616">
        <v>5125</v>
      </c>
    </row>
    <row r="9617" spans="1:4" x14ac:dyDescent="0.25">
      <c r="A9617" t="str">
        <f>T("   732112")</f>
        <v xml:space="preserve">   732112</v>
      </c>
      <c r="B9617" t="s">
        <v>362</v>
      </c>
      <c r="C9617">
        <v>224021</v>
      </c>
      <c r="D9617">
        <v>400</v>
      </c>
    </row>
    <row r="9618" spans="1:4" x14ac:dyDescent="0.25">
      <c r="A9618" t="str">
        <f>T("   732181")</f>
        <v xml:space="preserve">   732181</v>
      </c>
      <c r="B9618" t="s">
        <v>363</v>
      </c>
      <c r="C9618">
        <v>200368</v>
      </c>
      <c r="D9618">
        <v>500</v>
      </c>
    </row>
    <row r="9619" spans="1:4" x14ac:dyDescent="0.25">
      <c r="A9619" t="str">
        <f>T("   732399")</f>
        <v xml:space="preserve">   732399</v>
      </c>
      <c r="B9619" t="s">
        <v>368</v>
      </c>
      <c r="C9619">
        <v>5025000</v>
      </c>
      <c r="D9619">
        <v>7552</v>
      </c>
    </row>
    <row r="9620" spans="1:4" x14ac:dyDescent="0.25">
      <c r="A9620" t="str">
        <f>T("   732690")</f>
        <v xml:space="preserve">   732690</v>
      </c>
      <c r="B9620"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9620">
        <v>100184</v>
      </c>
      <c r="D9620">
        <v>600</v>
      </c>
    </row>
    <row r="9621" spans="1:4" x14ac:dyDescent="0.25">
      <c r="A9621" t="str">
        <f>T("   820590")</f>
        <v xml:space="preserve">   820590</v>
      </c>
      <c r="B9621" t="str">
        <f>T("   Assortiments d'outils d'au moins deux des sous-positions du n° 8205")</f>
        <v xml:space="preserve">   Assortiments d'outils d'au moins deux des sous-positions du n° 8205</v>
      </c>
      <c r="C9621">
        <v>801849</v>
      </c>
      <c r="D9621">
        <v>1277</v>
      </c>
    </row>
    <row r="9622" spans="1:4" x14ac:dyDescent="0.25">
      <c r="A9622" t="str">
        <f>T("   821410")</f>
        <v xml:space="preserve">   821410</v>
      </c>
      <c r="B9622" t="str">
        <f>T("   Coupe-papier, ouvre-lettres, grattoirs, taille-crayons et leurs lames, en métaux communs (sauf machines, appareils et instruments à usage similaire du chapitre 84)")</f>
        <v xml:space="preserve">   Coupe-papier, ouvre-lettres, grattoirs, taille-crayons et leurs lames, en métaux communs (sauf machines, appareils et instruments à usage similaire du chapitre 84)</v>
      </c>
      <c r="C9622">
        <v>386941</v>
      </c>
      <c r="D9622">
        <v>430</v>
      </c>
    </row>
    <row r="9623" spans="1:4" x14ac:dyDescent="0.25">
      <c r="A9623" t="str">
        <f>T("   830250")</f>
        <v xml:space="preserve">   830250</v>
      </c>
      <c r="B9623" t="str">
        <f>T("   Patères, porte-chapeaux, supports et articles simil. en métaux communs")</f>
        <v xml:space="preserve">   Patères, porte-chapeaux, supports et articles simil. en métaux communs</v>
      </c>
      <c r="C9623">
        <v>92001</v>
      </c>
      <c r="D9623">
        <v>315</v>
      </c>
    </row>
    <row r="9624" spans="1:4" x14ac:dyDescent="0.25">
      <c r="A9624" t="str">
        <f>T("   830300")</f>
        <v xml:space="preserve">   830300</v>
      </c>
      <c r="B9624" t="str">
        <f>T("   Coffres-forts, portes blindées et compartiments pour chambres fortes, coffres et cassettes de sûreté et articles simil., en métaux communs")</f>
        <v xml:space="preserve">   Coffres-forts, portes blindées et compartiments pour chambres fortes, coffres et cassettes de sûreté et articles simil., en métaux communs</v>
      </c>
      <c r="C9624">
        <v>3407825</v>
      </c>
      <c r="D9624">
        <v>5298</v>
      </c>
    </row>
    <row r="9625" spans="1:4" x14ac:dyDescent="0.25">
      <c r="A9625" t="str">
        <f>T("   841451")</f>
        <v xml:space="preserve">   841451</v>
      </c>
      <c r="B9625" t="str">
        <f>T("   Ventilateurs de table, de sol, muraux, plafonniers, de toitures ou de fenêtres, à moteur électrique incorporé, d'une puissance &lt;= 125 W")</f>
        <v xml:space="preserve">   Ventilateurs de table, de sol, muraux, plafonniers, de toitures ou de fenêtres, à moteur électrique incorporé, d'une puissance &lt;= 125 W</v>
      </c>
      <c r="C9625">
        <v>28538777</v>
      </c>
      <c r="D9625">
        <v>32259</v>
      </c>
    </row>
    <row r="9626" spans="1:4" x14ac:dyDescent="0.25">
      <c r="A9626" t="str">
        <f>T("   841459")</f>
        <v xml:space="preserve">   841459</v>
      </c>
      <c r="B9626" t="str">
        <f>T("   Ventilateurs (sauf ventilateurs de table, de sol, muraux, plafonniers, de toitures ou de fenêtres, à moteur électrique incorporé, d'une puissance &lt;= 125 W)")</f>
        <v xml:space="preserve">   Ventilateurs (sauf ventilateurs de table, de sol, muraux, plafonniers, de toitures ou de fenêtres, à moteur électrique incorporé, d'une puissance &lt;= 125 W)</v>
      </c>
      <c r="C9626">
        <v>4110073</v>
      </c>
      <c r="D9626">
        <v>10132</v>
      </c>
    </row>
    <row r="9627" spans="1:4" x14ac:dyDescent="0.25">
      <c r="A9627" t="str">
        <f>T("   841480")</f>
        <v xml:space="preserve">   841480</v>
      </c>
      <c r="B9627" t="s">
        <v>398</v>
      </c>
      <c r="C9627">
        <v>1337</v>
      </c>
      <c r="D9627">
        <v>100</v>
      </c>
    </row>
    <row r="9628" spans="1:4" x14ac:dyDescent="0.25">
      <c r="A9628" t="str">
        <f>T("   841510")</f>
        <v xml:space="preserve">   841510</v>
      </c>
      <c r="B9628" t="s">
        <v>399</v>
      </c>
      <c r="C9628">
        <v>118439705</v>
      </c>
      <c r="D9628">
        <v>117286</v>
      </c>
    </row>
    <row r="9629" spans="1:4" x14ac:dyDescent="0.25">
      <c r="A9629" t="str">
        <f>T("   841520")</f>
        <v xml:space="preserve">   841520</v>
      </c>
      <c r="B9629" t="str">
        <f>T("   Machines et appareils pour le conditionnement de l'air du type de ceux utilisés pour le confort des personnes dans les véhicules automobiles")</f>
        <v xml:space="preserve">   Machines et appareils pour le conditionnement de l'air du type de ceux utilisés pour le confort des personnes dans les véhicules automobiles</v>
      </c>
      <c r="C9629">
        <v>5595932</v>
      </c>
      <c r="D9629">
        <v>3000</v>
      </c>
    </row>
    <row r="9630" spans="1:4" x14ac:dyDescent="0.25">
      <c r="A9630" t="str">
        <f>T("   841581")</f>
        <v xml:space="preserve">   841581</v>
      </c>
      <c r="B9630" t="s">
        <v>400</v>
      </c>
      <c r="C9630">
        <v>25079236</v>
      </c>
      <c r="D9630">
        <v>41559</v>
      </c>
    </row>
    <row r="9631" spans="1:4" x14ac:dyDescent="0.25">
      <c r="A9631" t="str">
        <f>T("   841582")</f>
        <v xml:space="preserve">   841582</v>
      </c>
      <c r="B9631" t="s">
        <v>401</v>
      </c>
      <c r="C9631">
        <v>29484371</v>
      </c>
      <c r="D9631">
        <v>48918</v>
      </c>
    </row>
    <row r="9632" spans="1:4" x14ac:dyDescent="0.25">
      <c r="A9632" t="str">
        <f>T("   841590")</f>
        <v xml:space="preserve">   841590</v>
      </c>
      <c r="B9632" t="str">
        <f>T("   Parties de machines et appareils pour le conditionnement de l'air comprenant un ventilateur à moteur et des dispositifs propres à modifier la température et l'humidité de l'air, n.d.a.")</f>
        <v xml:space="preserve">   Parties de machines et appareils pour le conditionnement de l'air comprenant un ventilateur à moteur et des dispositifs propres à modifier la température et l'humidité de l'air, n.d.a.</v>
      </c>
      <c r="C9632">
        <v>8468268</v>
      </c>
      <c r="D9632">
        <v>10700</v>
      </c>
    </row>
    <row r="9633" spans="1:4" x14ac:dyDescent="0.25">
      <c r="A9633" t="str">
        <f>T("   841810")</f>
        <v xml:space="preserve">   841810</v>
      </c>
      <c r="B9633" t="str">
        <f>T("   Réfrigérateurs et congélateurs-conservateurs combinés, avec portes extérieures séparées")</f>
        <v xml:space="preserve">   Réfrigérateurs et congélateurs-conservateurs combinés, avec portes extérieures séparées</v>
      </c>
      <c r="C9633">
        <v>43385097</v>
      </c>
      <c r="D9633">
        <v>25493</v>
      </c>
    </row>
    <row r="9634" spans="1:4" x14ac:dyDescent="0.25">
      <c r="A9634" t="str">
        <f>T("   841821")</f>
        <v xml:space="preserve">   841821</v>
      </c>
      <c r="B9634" t="str">
        <f>T("   Réfrigérateurs ménagers à compression")</f>
        <v xml:space="preserve">   Réfrigérateurs ménagers à compression</v>
      </c>
      <c r="C9634">
        <v>17416351</v>
      </c>
      <c r="D9634">
        <v>13450</v>
      </c>
    </row>
    <row r="9635" spans="1:4" x14ac:dyDescent="0.25">
      <c r="A9635" t="str">
        <f>T("   841822")</f>
        <v xml:space="preserve">   841822</v>
      </c>
      <c r="B9635" t="str">
        <f>T("   Réfrigérateurs ménagers à absorption, électriques")</f>
        <v xml:space="preserve">   Réfrigérateurs ménagers à absorption, électriques</v>
      </c>
      <c r="C9635">
        <v>31827456</v>
      </c>
      <c r="D9635">
        <v>37331</v>
      </c>
    </row>
    <row r="9636" spans="1:4" x14ac:dyDescent="0.25">
      <c r="A9636" t="str">
        <f>T("   841829")</f>
        <v xml:space="preserve">   841829</v>
      </c>
      <c r="B9636" t="str">
        <f>T("   Réfrigérateurs ménagers à absorption, non-électriques")</f>
        <v xml:space="preserve">   Réfrigérateurs ménagers à absorption, non-électriques</v>
      </c>
      <c r="C9636">
        <v>37074222</v>
      </c>
      <c r="D9636">
        <v>47239</v>
      </c>
    </row>
    <row r="9637" spans="1:4" x14ac:dyDescent="0.25">
      <c r="A9637" t="str">
        <f>T("   841830")</f>
        <v xml:space="preserve">   841830</v>
      </c>
      <c r="B9637" t="str">
        <f>T("   Meubles congélateurs-conservateurs du type coffre, capacité &lt;= 800 l")</f>
        <v xml:space="preserve">   Meubles congélateurs-conservateurs du type coffre, capacité &lt;= 800 l</v>
      </c>
      <c r="C9637">
        <v>30138882</v>
      </c>
      <c r="D9637">
        <v>17490</v>
      </c>
    </row>
    <row r="9638" spans="1:4" x14ac:dyDescent="0.25">
      <c r="A9638" t="str">
        <f>T("   841850")</f>
        <v xml:space="preserve">   841850</v>
      </c>
      <c r="B9638" t="s">
        <v>404</v>
      </c>
      <c r="C9638">
        <v>333561</v>
      </c>
      <c r="D9638">
        <v>506</v>
      </c>
    </row>
    <row r="9639" spans="1:4" x14ac:dyDescent="0.25">
      <c r="A9639" t="str">
        <f>T("   841861")</f>
        <v xml:space="preserve">   841861</v>
      </c>
      <c r="B9639" t="str">
        <f>T("   Groupes à compression pour la production du froid, dont le condenseur est constitué par un échangeur de chaleur")</f>
        <v xml:space="preserve">   Groupes à compression pour la production du froid, dont le condenseur est constitué par un échangeur de chaleur</v>
      </c>
      <c r="C9639">
        <v>419832</v>
      </c>
      <c r="D9639">
        <v>338</v>
      </c>
    </row>
    <row r="9640" spans="1:4" x14ac:dyDescent="0.25">
      <c r="A9640" t="str">
        <f>T("   841891")</f>
        <v xml:space="preserve">   841891</v>
      </c>
      <c r="B9640" t="str">
        <f>T("   Meubles conçus pour recevoir un équipement pour la production du froid")</f>
        <v xml:space="preserve">   Meubles conçus pour recevoir un équipement pour la production du froid</v>
      </c>
      <c r="C9640">
        <v>184489</v>
      </c>
      <c r="D9640">
        <v>1100</v>
      </c>
    </row>
    <row r="9641" spans="1:4" x14ac:dyDescent="0.25">
      <c r="A9641" t="str">
        <f>T("   841899")</f>
        <v xml:space="preserve">   841899</v>
      </c>
      <c r="B9641" t="str">
        <f>T("   Parties de réfrigérateurs et de congélateurs-conservateurs du type armoire et du type coffre et d'autres matériel, machines et appareils pour la production du froid, parties de pompes à chaleur, n.d.a.")</f>
        <v xml:space="preserve">   Parties de réfrigérateurs et de congélateurs-conservateurs du type armoire et du type coffre et d'autres matériel, machines et appareils pour la production du froid, parties de pompes à chaleur, n.d.a.</v>
      </c>
      <c r="C9641">
        <v>2792478</v>
      </c>
      <c r="D9641">
        <v>4511</v>
      </c>
    </row>
    <row r="9642" spans="1:4" x14ac:dyDescent="0.25">
      <c r="A9642" t="str">
        <f>T("   842219")</f>
        <v xml:space="preserve">   842219</v>
      </c>
      <c r="B9642" t="str">
        <f>T("   Machines à laver la vaisselle (autres que de type ménager)")</f>
        <v xml:space="preserve">   Machines à laver la vaisselle (autres que de type ménager)</v>
      </c>
      <c r="C9642">
        <v>184325</v>
      </c>
      <c r="D9642">
        <v>325</v>
      </c>
    </row>
    <row r="9643" spans="1:4" x14ac:dyDescent="0.25">
      <c r="A9643" t="str">
        <f>T("   842240")</f>
        <v xml:space="preserve">   842240</v>
      </c>
      <c r="B9643" t="s">
        <v>406</v>
      </c>
      <c r="C9643">
        <v>26184973</v>
      </c>
      <c r="D9643">
        <v>2186</v>
      </c>
    </row>
    <row r="9644" spans="1:4" x14ac:dyDescent="0.25">
      <c r="A9644" t="str">
        <f>T("   842290")</f>
        <v xml:space="preserve">   842290</v>
      </c>
      <c r="B9644" t="str">
        <f>T("   Parties des machines à laver la vaisselle, des machines à empaqueter ou à emballer les marchandises et autres machines et appareils du n° 8422, n.d.a.")</f>
        <v xml:space="preserve">   Parties des machines à laver la vaisselle, des machines à empaqueter ou à emballer les marchandises et autres machines et appareils du n° 8422, n.d.a.</v>
      </c>
      <c r="C9644">
        <v>273253</v>
      </c>
      <c r="D9644">
        <v>86</v>
      </c>
    </row>
    <row r="9645" spans="1:4" x14ac:dyDescent="0.25">
      <c r="A9645" t="str">
        <f>T("   842951")</f>
        <v xml:space="preserve">   842951</v>
      </c>
      <c r="B9645" t="str">
        <f>T("   Chargeuses et chargeuses-pelleteuses, à chargement frontal, autopropulsées")</f>
        <v xml:space="preserve">   Chargeuses et chargeuses-pelleteuses, à chargement frontal, autopropulsées</v>
      </c>
      <c r="C9645">
        <v>1025809</v>
      </c>
      <c r="D9645">
        <v>2000</v>
      </c>
    </row>
    <row r="9646" spans="1:4" x14ac:dyDescent="0.25">
      <c r="A9646" t="str">
        <f>T("   843890")</f>
        <v xml:space="preserve">   843890</v>
      </c>
      <c r="B9646" t="str">
        <f>T("   Parties des machines et appareils pour le traitement, la préparation ou la fabrication industriels d'aliments ou de boissons, n.d.a.")</f>
        <v xml:space="preserve">   Parties des machines et appareils pour le traitement, la préparation ou la fabrication industriels d'aliments ou de boissons, n.d.a.</v>
      </c>
      <c r="C9646">
        <v>2902464</v>
      </c>
      <c r="D9646">
        <v>18000</v>
      </c>
    </row>
    <row r="9647" spans="1:4" x14ac:dyDescent="0.25">
      <c r="A9647" t="str">
        <f>T("   845011")</f>
        <v xml:space="preserve">   845011</v>
      </c>
      <c r="B9647" t="str">
        <f>T("   Machines à laver le linge entièrement automatiques, d'une capacité unitaire exprimée en poids de linge sec &lt;= 6 kg")</f>
        <v xml:space="preserve">   Machines à laver le linge entièrement automatiques, d'une capacité unitaire exprimée en poids de linge sec &lt;= 6 kg</v>
      </c>
      <c r="C9647">
        <v>1411668</v>
      </c>
      <c r="D9647">
        <v>3821</v>
      </c>
    </row>
    <row r="9648" spans="1:4" x14ac:dyDescent="0.25">
      <c r="A9648" t="str">
        <f>T("   845019")</f>
        <v xml:space="preserve">   845019</v>
      </c>
      <c r="B9648" t="str">
        <f>T("   Machines à laver le linge d'une capacité unitaire exprimée en poids de linge sec &lt;= 6 kg (à l'excl. des machines entièrement automatiques et des machines à laver le linge avec essoreuse centrifuge incorporée)")</f>
        <v xml:space="preserve">   Machines à laver le linge d'une capacité unitaire exprimée en poids de linge sec &lt;= 6 kg (à l'excl. des machines entièrement automatiques et des machines à laver le linge avec essoreuse centrifuge incorporée)</v>
      </c>
      <c r="C9648">
        <v>1280000</v>
      </c>
      <c r="D9648">
        <v>826</v>
      </c>
    </row>
    <row r="9649" spans="1:4" x14ac:dyDescent="0.25">
      <c r="A9649" t="str">
        <f>T("   846789")</f>
        <v xml:space="preserve">   846789</v>
      </c>
      <c r="B9649" t="str">
        <f>T("   Outils pour emploi à la main, hydrauliques ou à moteur non électrique incorporé (sauf tronçonneuses à chaîne et outils pneumatiques)")</f>
        <v xml:space="preserve">   Outils pour emploi à la main, hydrauliques ou à moteur non électrique incorporé (sauf tronçonneuses à chaîne et outils pneumatiques)</v>
      </c>
      <c r="C9649">
        <v>239675</v>
      </c>
      <c r="D9649">
        <v>65</v>
      </c>
    </row>
    <row r="9650" spans="1:4" x14ac:dyDescent="0.25">
      <c r="A9650" t="str">
        <f>T("   847010")</f>
        <v xml:space="preserve">   847010</v>
      </c>
      <c r="B9650" t="s">
        <v>435</v>
      </c>
      <c r="C9650">
        <v>3212623</v>
      </c>
      <c r="D9650">
        <v>2139</v>
      </c>
    </row>
    <row r="9651" spans="1:4" x14ac:dyDescent="0.25">
      <c r="A9651" t="str">
        <f>T("   847021")</f>
        <v xml:space="preserve">   847021</v>
      </c>
      <c r="B9651" t="str">
        <f>T("   Machines à calculer électroniques avec organe imprimant, raccordées au réseau (à l'excl. des machines automatiques de traitement de l'information du n° 8471)")</f>
        <v xml:space="preserve">   Machines à calculer électroniques avec organe imprimant, raccordées au réseau (à l'excl. des machines automatiques de traitement de l'information du n° 8471)</v>
      </c>
      <c r="C9651">
        <v>1051623</v>
      </c>
      <c r="D9651">
        <v>786</v>
      </c>
    </row>
    <row r="9652" spans="1:4" x14ac:dyDescent="0.25">
      <c r="A9652" t="str">
        <f>T("   847160")</f>
        <v xml:space="preserve">   847160</v>
      </c>
      <c r="B9652" t="str">
        <f>T("   UNITÉS D'ENTRÉE OU DE SORTIE POUR MACHINES AUTOMATIQUES DE TRAITEMENT DE L'INFORMATION, POUVANT COMPORTER, SOUS LA MÊME ENVELOPPE, DES UNITÉS DE MÉMOIRE")</f>
        <v xml:space="preserve">   UNITÉS D'ENTRÉE OU DE SORTIE POUR MACHINES AUTOMATIQUES DE TRAITEMENT DE L'INFORMATION, POUVANT COMPORTER, SOUS LA MÊME ENVELOPPE, DES UNITÉS DE MÉMOIRE</v>
      </c>
      <c r="C9652">
        <v>107120</v>
      </c>
      <c r="D9652">
        <v>240</v>
      </c>
    </row>
    <row r="9653" spans="1:4" x14ac:dyDescent="0.25">
      <c r="A9653" t="str">
        <f>T("   847180")</f>
        <v xml:space="preserve">   847180</v>
      </c>
      <c r="B9653"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9653">
        <v>1224180</v>
      </c>
      <c r="D9653">
        <v>58</v>
      </c>
    </row>
    <row r="9654" spans="1:4" x14ac:dyDescent="0.25">
      <c r="A9654" t="str">
        <f>T("   847190")</f>
        <v xml:space="preserve">   847190</v>
      </c>
      <c r="B9654"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9654">
        <v>47935</v>
      </c>
      <c r="D9654">
        <v>25</v>
      </c>
    </row>
    <row r="9655" spans="1:4" x14ac:dyDescent="0.25">
      <c r="A9655" t="str">
        <f>T("   847290")</f>
        <v xml:space="preserve">   847290</v>
      </c>
      <c r="B9655" t="str">
        <f>T("   Machines et appareils de bureau, n.d.a.")</f>
        <v xml:space="preserve">   Machines et appareils de bureau, n.d.a.</v>
      </c>
      <c r="C9655">
        <v>1045577</v>
      </c>
      <c r="D9655">
        <v>1003</v>
      </c>
    </row>
    <row r="9656" spans="1:4" x14ac:dyDescent="0.25">
      <c r="A9656" t="str">
        <f>T("   847330")</f>
        <v xml:space="preserve">   847330</v>
      </c>
      <c r="B9656" t="str">
        <f>T("   Parties et accessoires pour machines automatiques de traitement de l'information ou pour autres machines du n° 8471, n.d.a.")</f>
        <v xml:space="preserve">   Parties et accessoires pour machines automatiques de traitement de l'information ou pour autres machines du n° 8471, n.d.a.</v>
      </c>
      <c r="C9656">
        <v>3482756</v>
      </c>
      <c r="D9656">
        <v>936</v>
      </c>
    </row>
    <row r="9657" spans="1:4" x14ac:dyDescent="0.25">
      <c r="A9657" t="str">
        <f>T("   850440")</f>
        <v xml:space="preserve">   850440</v>
      </c>
      <c r="B9657" t="str">
        <f>T("   CONVERTISSEURS STATIQUES")</f>
        <v xml:space="preserve">   CONVERTISSEURS STATIQUES</v>
      </c>
      <c r="C9657">
        <v>6011499</v>
      </c>
      <c r="D9657">
        <v>6514</v>
      </c>
    </row>
    <row r="9658" spans="1:4" x14ac:dyDescent="0.25">
      <c r="A9658" t="str">
        <f>T("   850680")</f>
        <v xml:space="preserve">   850680</v>
      </c>
      <c r="B9658" t="str">
        <f>T("   Piles et batteries de piles électriques (sauf hors d'usage et autres que piles et batteries à l'oxyde d'argent, de mercure, au bioxyde de manganèse, au lithium et à l'air-zinc)")</f>
        <v xml:space="preserve">   Piles et batteries de piles électriques (sauf hors d'usage et autres que piles et batteries à l'oxyde d'argent, de mercure, au bioxyde de manganèse, au lithium et à l'air-zinc)</v>
      </c>
      <c r="C9658">
        <v>97307</v>
      </c>
      <c r="D9658">
        <v>24</v>
      </c>
    </row>
    <row r="9659" spans="1:4" x14ac:dyDescent="0.25">
      <c r="A9659" t="str">
        <f>T("   850710")</f>
        <v xml:space="preserve">   850710</v>
      </c>
      <c r="B9659" t="str">
        <f>T("   Accumulateurs au plomb, pour le démarrage des moteurs à piston (sauf hors d'usage)")</f>
        <v xml:space="preserve">   Accumulateurs au plomb, pour le démarrage des moteurs à piston (sauf hors d'usage)</v>
      </c>
      <c r="C9659">
        <v>33449109</v>
      </c>
      <c r="D9659">
        <v>48474</v>
      </c>
    </row>
    <row r="9660" spans="1:4" x14ac:dyDescent="0.25">
      <c r="A9660" t="str">
        <f>T("   850940")</f>
        <v xml:space="preserve">   850940</v>
      </c>
      <c r="B9660" t="str">
        <f>T("   Broyeurs et mélangeurs pour aliments; presse-fruits et presse-légumes à moteur électrique incorporé, à usage domestique")</f>
        <v xml:space="preserve">   Broyeurs et mélangeurs pour aliments; presse-fruits et presse-légumes à moteur électrique incorporé, à usage domestique</v>
      </c>
      <c r="C9660">
        <v>732144</v>
      </c>
      <c r="D9660">
        <v>297</v>
      </c>
    </row>
    <row r="9661" spans="1:4" x14ac:dyDescent="0.25">
      <c r="A9661" t="str">
        <f>T("   850980")</f>
        <v xml:space="preserve">   850980</v>
      </c>
      <c r="B9661" t="s">
        <v>452</v>
      </c>
      <c r="C9661">
        <v>800000</v>
      </c>
      <c r="D9661">
        <v>161</v>
      </c>
    </row>
    <row r="9662" spans="1:4" x14ac:dyDescent="0.25">
      <c r="A9662" t="str">
        <f>T("   851610")</f>
        <v xml:space="preserve">   851610</v>
      </c>
      <c r="B9662" t="str">
        <f>T("   Chauffe-eau et thermoplongeurs électriques")</f>
        <v xml:space="preserve">   Chauffe-eau et thermoplongeurs électriques</v>
      </c>
      <c r="C9662">
        <v>17736</v>
      </c>
      <c r="D9662">
        <v>58</v>
      </c>
    </row>
    <row r="9663" spans="1:4" x14ac:dyDescent="0.25">
      <c r="A9663" t="str">
        <f>T("   851640")</f>
        <v xml:space="preserve">   851640</v>
      </c>
      <c r="B9663" t="str">
        <f>T("   Fers à repasser électriques")</f>
        <v xml:space="preserve">   Fers à repasser électriques</v>
      </c>
      <c r="C9663">
        <v>395292</v>
      </c>
      <c r="D9663">
        <v>463</v>
      </c>
    </row>
    <row r="9664" spans="1:4" x14ac:dyDescent="0.25">
      <c r="A9664" t="str">
        <f>T("   851650")</f>
        <v xml:space="preserve">   851650</v>
      </c>
      <c r="B9664" t="str">
        <f>T("   Fours à micro-ondes")</f>
        <v xml:space="preserve">   Fours à micro-ondes</v>
      </c>
      <c r="C9664">
        <v>1071869</v>
      </c>
      <c r="D9664">
        <v>1419</v>
      </c>
    </row>
    <row r="9665" spans="1:4" x14ac:dyDescent="0.25">
      <c r="A9665" t="str">
        <f>T("   851660")</f>
        <v xml:space="preserve">   851660</v>
      </c>
      <c r="B9665" t="str">
        <f>T("   Fours, cuisinières, réchauds, tables de cuisson, grils et rôtissoires électriques, pour usages domestiques (sauf fours destinés au chauffage des locaux et fours à micro-ondes)")</f>
        <v xml:space="preserve">   Fours, cuisinières, réchauds, tables de cuisson, grils et rôtissoires électriques, pour usages domestiques (sauf fours destinés au chauffage des locaux et fours à micro-ondes)</v>
      </c>
      <c r="C9665">
        <v>3566161</v>
      </c>
      <c r="D9665">
        <v>3951</v>
      </c>
    </row>
    <row r="9666" spans="1:4" x14ac:dyDescent="0.25">
      <c r="A9666" t="str">
        <f>T("   851671")</f>
        <v xml:space="preserve">   851671</v>
      </c>
      <c r="B9666" t="str">
        <f>T("   Appareils électriques pour la préparation du café ou du thé, pour usages domestiques")</f>
        <v xml:space="preserve">   Appareils électriques pour la préparation du café ou du thé, pour usages domestiques</v>
      </c>
      <c r="C9666">
        <v>854812</v>
      </c>
      <c r="D9666">
        <v>429</v>
      </c>
    </row>
    <row r="9667" spans="1:4" x14ac:dyDescent="0.25">
      <c r="A9667" t="str">
        <f>T("   851679")</f>
        <v xml:space="preserve">   851679</v>
      </c>
      <c r="B9667" t="s">
        <v>456</v>
      </c>
      <c r="C9667">
        <v>697934</v>
      </c>
      <c r="D9667">
        <v>1265</v>
      </c>
    </row>
    <row r="9668" spans="1:4" x14ac:dyDescent="0.25">
      <c r="A9668" t="str">
        <f>T("   851711")</f>
        <v xml:space="preserve">   851711</v>
      </c>
      <c r="B9668" t="str">
        <f>T("   Postes téléphoniques d'usagers pour la téléphonie par fil à combinés sans fil")</f>
        <v xml:space="preserve">   Postes téléphoniques d'usagers pour la téléphonie par fil à combinés sans fil</v>
      </c>
      <c r="C9668">
        <v>276584</v>
      </c>
      <c r="D9668">
        <v>39</v>
      </c>
    </row>
    <row r="9669" spans="1:4" x14ac:dyDescent="0.25">
      <c r="A9669" t="str">
        <f>T("   851719")</f>
        <v xml:space="preserve">   851719</v>
      </c>
      <c r="B9669" t="str">
        <f>T("   Postes téléphoniques d'usagers pour la téléphonie par fil; visiophones (sauf postes téléphoniques d'usagers par fil à combinés sans fil et parlophones)")</f>
        <v xml:space="preserve">   Postes téléphoniques d'usagers pour la téléphonie par fil; visiophones (sauf postes téléphoniques d'usagers par fil à combinés sans fil et parlophones)</v>
      </c>
      <c r="C9669">
        <v>144763</v>
      </c>
      <c r="D9669">
        <v>12</v>
      </c>
    </row>
    <row r="9670" spans="1:4" x14ac:dyDescent="0.25">
      <c r="A9670" t="str">
        <f>T("   851780")</f>
        <v xml:space="preserve">   851780</v>
      </c>
      <c r="B9670" t="s">
        <v>458</v>
      </c>
      <c r="C9670">
        <v>566377</v>
      </c>
      <c r="D9670">
        <v>93.4</v>
      </c>
    </row>
    <row r="9671" spans="1:4" x14ac:dyDescent="0.25">
      <c r="A9671" t="str">
        <f>T("   851810")</f>
        <v xml:space="preserve">   851810</v>
      </c>
      <c r="B9671" t="str">
        <f>T("   Microphones et leurs supports (autres que sans fil, avec émetteur incorporé)")</f>
        <v xml:space="preserve">   Microphones et leurs supports (autres que sans fil, avec émetteur incorporé)</v>
      </c>
      <c r="C9671">
        <v>245000</v>
      </c>
      <c r="D9671">
        <v>25</v>
      </c>
    </row>
    <row r="9672" spans="1:4" x14ac:dyDescent="0.25">
      <c r="A9672" t="str">
        <f>T("   851829")</f>
        <v xml:space="preserve">   851829</v>
      </c>
      <c r="B9672" t="str">
        <f>T("   Haut-parleurs sans enceinte")</f>
        <v xml:space="preserve">   Haut-parleurs sans enceinte</v>
      </c>
      <c r="C9672">
        <v>937651</v>
      </c>
      <c r="D9672">
        <v>2800</v>
      </c>
    </row>
    <row r="9673" spans="1:4" x14ac:dyDescent="0.25">
      <c r="A9673" t="str">
        <f>T("   851830")</f>
        <v xml:space="preserve">   851830</v>
      </c>
      <c r="B9673" t="s">
        <v>460</v>
      </c>
      <c r="C9673">
        <v>106541</v>
      </c>
      <c r="D9673">
        <v>896</v>
      </c>
    </row>
    <row r="9674" spans="1:4" x14ac:dyDescent="0.25">
      <c r="A9674" t="str">
        <f>T("   851929")</f>
        <v xml:space="preserve">   851929</v>
      </c>
      <c r="B9674" t="str">
        <f>T("   ÉLECTROPHONES AVEC AMPLIFICATEUR ET HAUT-PARLEUR (AUTRES QUE COMMANDÉS PAR L'INTRODUCTION D'UNE PIÈCE DE MONNAIE OU D'UN JETON)")</f>
        <v xml:space="preserve">   ÉLECTROPHONES AVEC AMPLIFICATEUR ET HAUT-PARLEUR (AUTRES QUE COMMANDÉS PAR L'INTRODUCTION D'UNE PIÈCE DE MONNAIE OU D'UN JETON)</v>
      </c>
      <c r="C9674">
        <v>2785165</v>
      </c>
      <c r="D9674">
        <v>2790</v>
      </c>
    </row>
    <row r="9675" spans="1:4" x14ac:dyDescent="0.25">
      <c r="A9675" t="str">
        <f>T("   851939")</f>
        <v xml:space="preserve">   851939</v>
      </c>
      <c r="B9675" t="str">
        <f>T("   Tourne-disques sans amplificateur et sans changeur automatique de disques")</f>
        <v xml:space="preserve">   Tourne-disques sans amplificateur et sans changeur automatique de disques</v>
      </c>
      <c r="C9675">
        <v>300073</v>
      </c>
      <c r="D9675">
        <v>300</v>
      </c>
    </row>
    <row r="9676" spans="1:4" x14ac:dyDescent="0.25">
      <c r="A9676" t="str">
        <f>T("   852039")</f>
        <v xml:space="preserve">   852039</v>
      </c>
      <c r="B9676" t="str">
        <f>T("   Appareils d'enregistrement et de reproduction du son, sur bandes magnétiques (autres que numériques, machines à dicter ne pouvant fonctionner qu'avec source d'énergie extérieure, répondeurs téléphoniques et enregistreurs à cassettes)")</f>
        <v xml:space="preserve">   Appareils d'enregistrement et de reproduction du son, sur bandes magnétiques (autres que numériques, machines à dicter ne pouvant fonctionner qu'avec source d'énergie extérieure, répondeurs téléphoniques et enregistreurs à cassettes)</v>
      </c>
      <c r="C9676">
        <v>700000</v>
      </c>
      <c r="D9676">
        <v>2000</v>
      </c>
    </row>
    <row r="9677" spans="1:4" x14ac:dyDescent="0.25">
      <c r="A9677" t="str">
        <f>T("   852190")</f>
        <v xml:space="preserve">   852190</v>
      </c>
      <c r="B9677" t="s">
        <v>462</v>
      </c>
      <c r="C9677">
        <v>26165097</v>
      </c>
      <c r="D9677">
        <v>42401</v>
      </c>
    </row>
    <row r="9678" spans="1:4" x14ac:dyDescent="0.25">
      <c r="A9678" t="str">
        <f>T("   852290")</f>
        <v xml:space="preserve">   852290</v>
      </c>
      <c r="B9678" t="s">
        <v>463</v>
      </c>
      <c r="C9678">
        <v>4993229</v>
      </c>
      <c r="D9678">
        <v>3451</v>
      </c>
    </row>
    <row r="9679" spans="1:4" x14ac:dyDescent="0.25">
      <c r="A9679" t="str">
        <f>T("   852320")</f>
        <v xml:space="preserve">   852320</v>
      </c>
      <c r="B9679" t="str">
        <f>T("   DISQUES MAGNÉTIQUES NON-ENREGISTRÉS")</f>
        <v xml:space="preserve">   DISQUES MAGNÉTIQUES NON-ENREGISTRÉS</v>
      </c>
      <c r="C9679">
        <v>1765000</v>
      </c>
      <c r="D9679">
        <v>1200</v>
      </c>
    </row>
    <row r="9680" spans="1:4" x14ac:dyDescent="0.25">
      <c r="A9680" t="str">
        <f>T("   852520")</f>
        <v xml:space="preserve">   852520</v>
      </c>
      <c r="B9680" t="str">
        <f>T("   Appareils d'émission incorporant un appareil de réception, pour la radiotéléphonie, la radiotélégraphie, la radiodiffusion ou la télévision")</f>
        <v xml:space="preserve">   Appareils d'émission incorporant un appareil de réception, pour la radiotéléphonie, la radiotélégraphie, la radiodiffusion ou la télévision</v>
      </c>
      <c r="C9680">
        <v>78613</v>
      </c>
      <c r="D9680">
        <v>500</v>
      </c>
    </row>
    <row r="9681" spans="1:4" x14ac:dyDescent="0.25">
      <c r="A9681" t="str">
        <f>T("   852712")</f>
        <v xml:space="preserve">   852712</v>
      </c>
      <c r="B9681" t="str">
        <f>T("   Radiocassettes de poche [dimensions &lt;= 170 mm x 100 mm x 45 mm], avec amplificateur incorporé, sans haut-parleur incorporé, pouvant fonctionner sans source d'énergie électrique extérieure")</f>
        <v xml:space="preserve">   Radiocassettes de poche [dimensions &lt;= 170 mm x 100 mm x 45 mm], avec amplificateur incorporé, sans haut-parleur incorporé, pouvant fonctionner sans source d'énergie électrique extérieure</v>
      </c>
      <c r="C9681">
        <v>2916423</v>
      </c>
      <c r="D9681">
        <v>3247</v>
      </c>
    </row>
    <row r="9682" spans="1:4" x14ac:dyDescent="0.25">
      <c r="A9682" t="str">
        <f>T("   852713")</f>
        <v xml:space="preserve">   852713</v>
      </c>
      <c r="B9682" t="str">
        <f>T("   RÉCEPTEURS DE RADIODIFFUSION POUVANT FONCTIONNER SANS SOURCE D'ÉNERGIE EXTÉRIEURE, COMBINÉS À UN APPAREIL D'ENREGISTREMENT OU DE REPRODUCTION DU SON (À L'EXCL. DES RADIOCASSETTES DE POCHE)")</f>
        <v xml:space="preserve">   RÉCEPTEURS DE RADIODIFFUSION POUVANT FONCTIONNER SANS SOURCE D'ÉNERGIE EXTÉRIEURE, COMBINÉS À UN APPAREIL D'ENREGISTREMENT OU DE REPRODUCTION DU SON (À L'EXCL. DES RADIOCASSETTES DE POCHE)</v>
      </c>
      <c r="C9682">
        <v>3641097</v>
      </c>
      <c r="D9682">
        <v>10092</v>
      </c>
    </row>
    <row r="9683" spans="1:4" x14ac:dyDescent="0.25">
      <c r="A9683" t="str">
        <f>T("   852719")</f>
        <v xml:space="preserve">   852719</v>
      </c>
      <c r="B9683" t="str">
        <f>T("   Récepteurs de radiodiffusion pouvant fonctionner sans source d'énergie extérieure, y.c. les appareils recevant également la radiotéléphonie ou la radiotélégraphie, non combinés à un appareil d'enregistrement et de reproduction du son")</f>
        <v xml:space="preserve">   Récepteurs de radiodiffusion pouvant fonctionner sans source d'énergie extérieure, y.c. les appareils recevant également la radiotéléphonie ou la radiotélégraphie, non combinés à un appareil d'enregistrement et de reproduction du son</v>
      </c>
      <c r="C9683">
        <v>13157195</v>
      </c>
      <c r="D9683">
        <v>33787</v>
      </c>
    </row>
    <row r="9684" spans="1:4" x14ac:dyDescent="0.25">
      <c r="A9684" t="str">
        <f>T("   852729")</f>
        <v xml:space="preserve">   852729</v>
      </c>
      <c r="B9684" t="s">
        <v>466</v>
      </c>
      <c r="C9684">
        <v>2322008</v>
      </c>
      <c r="D9684">
        <v>1352</v>
      </c>
    </row>
    <row r="9685" spans="1:4" x14ac:dyDescent="0.25">
      <c r="A9685" t="str">
        <f>T("   852731")</f>
        <v xml:space="preserve">   852731</v>
      </c>
      <c r="B9685" t="s">
        <v>467</v>
      </c>
      <c r="C9685">
        <v>2306254</v>
      </c>
      <c r="D9685">
        <v>1288</v>
      </c>
    </row>
    <row r="9686" spans="1:4" x14ac:dyDescent="0.25">
      <c r="A9686" t="str">
        <f>T("   852790")</f>
        <v xml:space="preserve">   852790</v>
      </c>
      <c r="B9686" t="str">
        <f>T("   Récepteurs pour la radiotéléphonie, la radiotélégraphie ou la radiodiffusion commerciale")</f>
        <v xml:space="preserve">   Récepteurs pour la radiotéléphonie, la radiotélégraphie ou la radiodiffusion commerciale</v>
      </c>
      <c r="C9686">
        <v>805520</v>
      </c>
      <c r="D9686">
        <v>2908</v>
      </c>
    </row>
    <row r="9687" spans="1:4" x14ac:dyDescent="0.25">
      <c r="A9687" t="str">
        <f>T("   852812")</f>
        <v xml:space="preserve">   852812</v>
      </c>
      <c r="B9687"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9687">
        <v>182218327</v>
      </c>
      <c r="D9687">
        <v>268113</v>
      </c>
    </row>
    <row r="9688" spans="1:4" x14ac:dyDescent="0.25">
      <c r="A9688" t="str">
        <f>T("   852990")</f>
        <v xml:space="preserve">   852990</v>
      </c>
      <c r="B9688" t="s">
        <v>471</v>
      </c>
      <c r="C9688">
        <v>324366</v>
      </c>
      <c r="D9688">
        <v>2730</v>
      </c>
    </row>
    <row r="9689" spans="1:4" x14ac:dyDescent="0.25">
      <c r="A9689" t="str">
        <f>T("   853530")</f>
        <v xml:space="preserve">   853530</v>
      </c>
      <c r="B9689" t="str">
        <f>T("   Sectionneurs et interrupteurs, pour une tension &gt; 1.000 V")</f>
        <v xml:space="preserve">   Sectionneurs et interrupteurs, pour une tension &gt; 1.000 V</v>
      </c>
      <c r="C9689">
        <v>349926</v>
      </c>
      <c r="D9689">
        <v>300</v>
      </c>
    </row>
    <row r="9690" spans="1:4" x14ac:dyDescent="0.25">
      <c r="A9690" t="str">
        <f>T("   853661")</f>
        <v xml:space="preserve">   853661</v>
      </c>
      <c r="B9690" t="str">
        <f>T("   Douilles pour lampes, pour une tension &lt;= 1.000 V")</f>
        <v xml:space="preserve">   Douilles pour lampes, pour une tension &lt;= 1.000 V</v>
      </c>
      <c r="C9690">
        <v>199889</v>
      </c>
      <c r="D9690">
        <v>200</v>
      </c>
    </row>
    <row r="9691" spans="1:4" x14ac:dyDescent="0.25">
      <c r="A9691" t="str">
        <f>T("   853690")</f>
        <v xml:space="preserve">   853690</v>
      </c>
      <c r="B9691" t="s">
        <v>474</v>
      </c>
      <c r="C9691">
        <v>5532</v>
      </c>
      <c r="D9691">
        <v>5</v>
      </c>
    </row>
    <row r="9692" spans="1:4" x14ac:dyDescent="0.25">
      <c r="A9692" t="str">
        <f>T("   854459")</f>
        <v xml:space="preserve">   854459</v>
      </c>
      <c r="B9692" t="str">
        <f>T("   Conducteurs électriques, pour tension &gt; 80 V mais &lt;= 1.000 V, sans pièces de connexion, n.d.a.")</f>
        <v xml:space="preserve">   Conducteurs électriques, pour tension &gt; 80 V mais &lt;= 1.000 V, sans pièces de connexion, n.d.a.</v>
      </c>
      <c r="C9692">
        <v>20046</v>
      </c>
      <c r="D9692">
        <v>10</v>
      </c>
    </row>
    <row r="9693" spans="1:4" x14ac:dyDescent="0.25">
      <c r="A9693" t="str">
        <f>T("   870422")</f>
        <v xml:space="preserve">   870422</v>
      </c>
      <c r="B9693" t="s">
        <v>487</v>
      </c>
      <c r="C9693">
        <v>2105655</v>
      </c>
      <c r="D9693">
        <v>19000</v>
      </c>
    </row>
    <row r="9694" spans="1:4" x14ac:dyDescent="0.25">
      <c r="A9694" t="str">
        <f>T("   890190")</f>
        <v xml:space="preserve">   890190</v>
      </c>
      <c r="B9694" t="str">
        <f>T("   Cargos et bateaux pour le transport de personnes et de marchandises (autres que bateaux frigorifiques, bateaux-citernes, cargos et bateaux destinés essentiellement au transport des personnes)")</f>
        <v xml:space="preserve">   Cargos et bateaux pour le transport de personnes et de marchandises (autres que bateaux frigorifiques, bateaux-citernes, cargos et bateaux destinés essentiellement au transport des personnes)</v>
      </c>
      <c r="C9694">
        <v>454975</v>
      </c>
      <c r="D9694">
        <v>29</v>
      </c>
    </row>
    <row r="9695" spans="1:4" x14ac:dyDescent="0.25">
      <c r="A9695" t="str">
        <f>T("   900659")</f>
        <v xml:space="preserve">   900659</v>
      </c>
      <c r="B9695" t="s">
        <v>498</v>
      </c>
      <c r="C9695">
        <v>93146</v>
      </c>
      <c r="D9695">
        <v>46</v>
      </c>
    </row>
    <row r="9696" spans="1:4" x14ac:dyDescent="0.25">
      <c r="A9696" t="str">
        <f>T("   900669")</f>
        <v xml:space="preserve">   900669</v>
      </c>
      <c r="B9696" t="str">
        <f>T("   Appareils et dispositifs pour la production de lumière-éclair en photographie (à l'excl. des appareils à tube à décharge, dits 'flashes électroniques', des lampes-éclair, cubes-éclairs et simil.)")</f>
        <v xml:space="preserve">   Appareils et dispositifs pour la production de lumière-éclair en photographie (à l'excl. des appareils à tube à décharge, dits 'flashes électroniques', des lampes-éclair, cubes-éclairs et simil.)</v>
      </c>
      <c r="C9696">
        <v>200369</v>
      </c>
      <c r="D9696">
        <v>826</v>
      </c>
    </row>
    <row r="9697" spans="1:4" x14ac:dyDescent="0.25">
      <c r="A9697" t="str">
        <f>T("   900719")</f>
        <v xml:space="preserve">   900719</v>
      </c>
      <c r="B9697" t="str">
        <f>T("   Caméras cinématographiques, pour films d'une largeur &gt;= 16 mm (à l'excl. des films double-8 mm)")</f>
        <v xml:space="preserve">   Caméras cinématographiques, pour films d'une largeur &gt;= 16 mm (à l'excl. des films double-8 mm)</v>
      </c>
      <c r="C9697">
        <v>23968</v>
      </c>
      <c r="D9697">
        <v>10</v>
      </c>
    </row>
    <row r="9698" spans="1:4" x14ac:dyDescent="0.25">
      <c r="A9698" t="str">
        <f>T("   900911")</f>
        <v xml:space="preserve">   900911</v>
      </c>
      <c r="B9698" t="str">
        <f>T("   Appareils de photocopie électrostatiques, fonctionnant par reproduction directe de l'image de l'original sur la copie [procédé direct]")</f>
        <v xml:space="preserve">   Appareils de photocopie électrostatiques, fonctionnant par reproduction directe de l'image de l'original sur la copie [procédé direct]</v>
      </c>
      <c r="C9698">
        <v>300000</v>
      </c>
      <c r="D9698">
        <v>993</v>
      </c>
    </row>
    <row r="9699" spans="1:4" x14ac:dyDescent="0.25">
      <c r="A9699" t="str">
        <f>T("   900922")</f>
        <v xml:space="preserve">   900922</v>
      </c>
      <c r="B9699" t="str">
        <f>T("   APPAREILS DE PHOTOCOPIE PAR CONTACT")</f>
        <v xml:space="preserve">   APPAREILS DE PHOTOCOPIE PAR CONTACT</v>
      </c>
      <c r="C9699">
        <v>100000</v>
      </c>
      <c r="D9699">
        <v>12</v>
      </c>
    </row>
    <row r="9700" spans="1:4" x14ac:dyDescent="0.25">
      <c r="A9700" t="str">
        <f>T("   901720")</f>
        <v xml:space="preserve">   901720</v>
      </c>
      <c r="B9700" t="str">
        <f>T("   Instruments de dessin, de traçage et de calcul (sauf tables et machines à dessiner ainsi que calculatrices)")</f>
        <v xml:space="preserve">   Instruments de dessin, de traçage et de calcul (sauf tables et machines à dessiner ainsi que calculatrices)</v>
      </c>
      <c r="C9700">
        <v>63616821</v>
      </c>
      <c r="D9700">
        <v>64890</v>
      </c>
    </row>
    <row r="9701" spans="1:4" x14ac:dyDescent="0.25">
      <c r="A9701" t="str">
        <f>T("   901780")</f>
        <v xml:space="preserve">   901780</v>
      </c>
      <c r="B9701" t="str">
        <f>T("   Instruments de mesure de longueurs, pour emploi à la main, n.d.a.")</f>
        <v xml:space="preserve">   Instruments de mesure de longueurs, pour emploi à la main, n.d.a.</v>
      </c>
      <c r="C9701">
        <v>215579</v>
      </c>
      <c r="D9701">
        <v>232</v>
      </c>
    </row>
    <row r="9702" spans="1:4" x14ac:dyDescent="0.25">
      <c r="A9702" t="str">
        <f>T("   902590")</f>
        <v xml:space="preserve">   902590</v>
      </c>
      <c r="B9702" t="str">
        <f>T("   Parties et accessoires des densimètres, aréomètres, pèse-liquides et instruments flottants simil., des thermomètres, pyromètres, baromètres, hygromètres et psychromètres, n.d.a.")</f>
        <v xml:space="preserve">   Parties et accessoires des densimètres, aréomètres, pèse-liquides et instruments flottants simil., des thermomètres, pyromètres, baromètres, hygromètres et psychromètres, n.d.a.</v>
      </c>
      <c r="C9702">
        <v>5532</v>
      </c>
      <c r="D9702">
        <v>5</v>
      </c>
    </row>
    <row r="9703" spans="1:4" x14ac:dyDescent="0.25">
      <c r="A9703" t="str">
        <f>T("   903289")</f>
        <v xml:space="preserve">   903289</v>
      </c>
      <c r="B9703" t="s">
        <v>508</v>
      </c>
      <c r="C9703">
        <v>3391117</v>
      </c>
      <c r="D9703">
        <v>7222</v>
      </c>
    </row>
    <row r="9704" spans="1:4" x14ac:dyDescent="0.25">
      <c r="A9704" t="str">
        <f>T("   940169")</f>
        <v xml:space="preserve">   940169</v>
      </c>
      <c r="B9704" t="str">
        <f>T("   Sièges, avec bâti en bois, non rembourrés")</f>
        <v xml:space="preserve">   Sièges, avec bâti en bois, non rembourrés</v>
      </c>
      <c r="C9704">
        <v>4800000</v>
      </c>
      <c r="D9704">
        <v>1500</v>
      </c>
    </row>
    <row r="9705" spans="1:4" x14ac:dyDescent="0.25">
      <c r="A9705" t="str">
        <f>T("   940330")</f>
        <v xml:space="preserve">   940330</v>
      </c>
      <c r="B9705" t="str">
        <f>T("   Meubles de bureau en bois (sauf sièges)")</f>
        <v xml:space="preserve">   Meubles de bureau en bois (sauf sièges)</v>
      </c>
      <c r="C9705">
        <v>3989114</v>
      </c>
      <c r="D9705">
        <v>2600</v>
      </c>
    </row>
    <row r="9706" spans="1:4" x14ac:dyDescent="0.25">
      <c r="A9706" t="str">
        <f>T("   940340")</f>
        <v xml:space="preserve">   940340</v>
      </c>
      <c r="B9706" t="str">
        <f>T("   Meubles de cuisine, en bois (sauf sièges)")</f>
        <v xml:space="preserve">   Meubles de cuisine, en bois (sauf sièges)</v>
      </c>
      <c r="C9706">
        <v>800000</v>
      </c>
      <c r="D9706">
        <v>656</v>
      </c>
    </row>
    <row r="9707" spans="1:4" x14ac:dyDescent="0.25">
      <c r="A9707" t="str">
        <f>T("   940380")</f>
        <v xml:space="preserve">   940380</v>
      </c>
      <c r="B9707" t="str">
        <f>T("   Meubles en rotin, osier, bambou ou autres matières (sauf métal, bois et matières plastiques)")</f>
        <v xml:space="preserve">   Meubles en rotin, osier, bambou ou autres matières (sauf métal, bois et matières plastiques)</v>
      </c>
      <c r="C9707">
        <v>11102</v>
      </c>
      <c r="D9707">
        <v>580</v>
      </c>
    </row>
    <row r="9708" spans="1:4" x14ac:dyDescent="0.25">
      <c r="A9708" t="str">
        <f>T("   950639")</f>
        <v xml:space="preserve">   950639</v>
      </c>
      <c r="B9708" t="str">
        <f>T("   Matériel de golf (sauf clubs et balles de golf)")</f>
        <v xml:space="preserve">   Matériel de golf (sauf clubs et balles de golf)</v>
      </c>
      <c r="C9708">
        <v>135000</v>
      </c>
      <c r="D9708">
        <v>8</v>
      </c>
    </row>
    <row r="9709" spans="1:4" x14ac:dyDescent="0.25">
      <c r="A9709" t="str">
        <f>T("   960839")</f>
        <v xml:space="preserve">   960839</v>
      </c>
      <c r="B9709" t="str">
        <f>T("   Stylos à plume et autres stylos (autres qu'à dessiner à l'encre de Chine)")</f>
        <v xml:space="preserve">   Stylos à plume et autres stylos (autres qu'à dessiner à l'encre de Chine)</v>
      </c>
      <c r="C9709">
        <v>72862</v>
      </c>
      <c r="D9709">
        <v>355</v>
      </c>
    </row>
    <row r="9710" spans="1:4" x14ac:dyDescent="0.25">
      <c r="A9710" t="str">
        <f>T("   960840")</f>
        <v xml:space="preserve">   960840</v>
      </c>
      <c r="B9710" t="str">
        <f>T("   Porte-mine")</f>
        <v xml:space="preserve">   Porte-mine</v>
      </c>
      <c r="C9710">
        <v>297476</v>
      </c>
      <c r="D9710">
        <v>321</v>
      </c>
    </row>
    <row r="9711" spans="1:4" x14ac:dyDescent="0.25">
      <c r="A9711" t="str">
        <f>T("   960910")</f>
        <v xml:space="preserve">   960910</v>
      </c>
      <c r="B9711" t="str">
        <f>T("   Crayons à gaine")</f>
        <v xml:space="preserve">   Crayons à gaine</v>
      </c>
      <c r="C9711">
        <v>12514525</v>
      </c>
      <c r="D9711">
        <v>11676</v>
      </c>
    </row>
    <row r="9712" spans="1:4" x14ac:dyDescent="0.25">
      <c r="A9712" t="str">
        <f>T("   960990")</f>
        <v xml:space="preserve">   960990</v>
      </c>
      <c r="B9712" t="str">
        <f>T("   Crayons (sauf crayons à gaine), pastels, fusains, craies à écrire ou à dessiner et craies de tailleurs")</f>
        <v xml:space="preserve">   Crayons (sauf crayons à gaine), pastels, fusains, craies à écrire ou à dessiner et craies de tailleurs</v>
      </c>
      <c r="C9712">
        <v>32686775</v>
      </c>
      <c r="D9712">
        <v>108500</v>
      </c>
    </row>
    <row r="9713" spans="1:4" x14ac:dyDescent="0.25">
      <c r="A9713" t="str">
        <f>T("   961210")</f>
        <v xml:space="preserve">   961210</v>
      </c>
      <c r="B9713" t="str">
        <f>T("   Rubans encreurs pour machines à écrire et rubans encreurs simil., encrés ou autrement préparés en vue de laisser des empreintes, même montés sur bobines ou en cartouches")</f>
        <v xml:space="preserve">   Rubans encreurs pour machines à écrire et rubans encreurs simil., encrés ou autrement préparés en vue de laisser des empreintes, même montés sur bobines ou en cartouches</v>
      </c>
      <c r="C9713">
        <v>98267</v>
      </c>
      <c r="D9713">
        <v>13</v>
      </c>
    </row>
    <row r="9714" spans="1:4" x14ac:dyDescent="0.25">
      <c r="A9714" t="str">
        <f>T("SH")</f>
        <v>SH</v>
      </c>
      <c r="B9714" t="str">
        <f>T("Sainte-Hélène")</f>
        <v>Sainte-Hélène</v>
      </c>
    </row>
    <row r="9715" spans="1:4" x14ac:dyDescent="0.25">
      <c r="A9715" t="str">
        <f>T("   ZZ_Total_Produit_SH6")</f>
        <v xml:space="preserve">   ZZ_Total_Produit_SH6</v>
      </c>
      <c r="B9715" t="str">
        <f>T("   ZZ_Total_Produit_SH6")</f>
        <v xml:space="preserve">   ZZ_Total_Produit_SH6</v>
      </c>
      <c r="C9715">
        <v>160000</v>
      </c>
      <c r="D9715">
        <v>169</v>
      </c>
    </row>
    <row r="9716" spans="1:4" x14ac:dyDescent="0.25">
      <c r="A9716" t="str">
        <f>T("   420219")</f>
        <v xml:space="preserve">   420219</v>
      </c>
      <c r="B9716" t="s">
        <v>162</v>
      </c>
      <c r="C9716">
        <v>51389</v>
      </c>
      <c r="D9716">
        <v>84</v>
      </c>
    </row>
    <row r="9717" spans="1:4" x14ac:dyDescent="0.25">
      <c r="A9717" t="str">
        <f>T("   940290")</f>
        <v xml:space="preserve">   940290</v>
      </c>
      <c r="B9717" t="str">
        <f>T("   Tables d'opération, tables d'examen et autre mobilier pour la médecine, la chirurgie, l'art dentaire ou vétérinaire (sauf fauteuils de dentistes et autres sièges, tables d'examen radiographique, civières et brancards, y.c. chariots-brancards)")</f>
        <v xml:space="preserve">   Tables d'opération, tables d'examen et autre mobilier pour la médecine, la chirurgie, l'art dentaire ou vétérinaire (sauf fauteuils de dentistes et autres sièges, tables d'examen radiographique, civières et brancards, y.c. chariots-brancards)</v>
      </c>
      <c r="C9717">
        <v>108611</v>
      </c>
      <c r="D9717">
        <v>85</v>
      </c>
    </row>
    <row r="9718" spans="1:4" x14ac:dyDescent="0.25">
      <c r="A9718" t="str">
        <f>T("SI")</f>
        <v>SI</v>
      </c>
      <c r="B9718" t="str">
        <f>T("Slovénie")</f>
        <v>Slovénie</v>
      </c>
    </row>
    <row r="9719" spans="1:4" x14ac:dyDescent="0.25">
      <c r="A9719" t="str">
        <f>T("   ZZ_Total_Produit_SH6")</f>
        <v xml:space="preserve">   ZZ_Total_Produit_SH6</v>
      </c>
      <c r="B9719" t="str">
        <f>T("   ZZ_Total_Produit_SH6")</f>
        <v xml:space="preserve">   ZZ_Total_Produit_SH6</v>
      </c>
      <c r="C9719">
        <v>1648060</v>
      </c>
      <c r="D9719">
        <v>858</v>
      </c>
    </row>
    <row r="9720" spans="1:4" x14ac:dyDescent="0.25">
      <c r="A9720" t="str">
        <f>T("   491000")</f>
        <v xml:space="preserve">   491000</v>
      </c>
      <c r="B9720" t="str">
        <f>T("   Calendriers de tous genres, imprimés, y.c. les blocs de calendriers à effeuiller")</f>
        <v xml:space="preserve">   Calendriers de tous genres, imprimés, y.c. les blocs de calendriers à effeuiller</v>
      </c>
      <c r="C9720">
        <v>448060</v>
      </c>
      <c r="D9720">
        <v>8</v>
      </c>
    </row>
    <row r="9721" spans="1:4" x14ac:dyDescent="0.25">
      <c r="A9721" t="str">
        <f>T("   870322")</f>
        <v xml:space="preserve">   870322</v>
      </c>
      <c r="B9721" t="s">
        <v>480</v>
      </c>
      <c r="C9721">
        <v>1200000</v>
      </c>
      <c r="D9721">
        <v>850</v>
      </c>
    </row>
    <row r="9722" spans="1:4" x14ac:dyDescent="0.25">
      <c r="A9722" t="str">
        <f>T("SK")</f>
        <v>SK</v>
      </c>
      <c r="B9722" t="str">
        <f>T("Slovaquie")</f>
        <v>Slovaquie</v>
      </c>
    </row>
    <row r="9723" spans="1:4" x14ac:dyDescent="0.25">
      <c r="A9723" t="str">
        <f>T("   ZZ_Total_Produit_SH6")</f>
        <v xml:space="preserve">   ZZ_Total_Produit_SH6</v>
      </c>
      <c r="B9723" t="str">
        <f>T("   ZZ_Total_Produit_SH6")</f>
        <v xml:space="preserve">   ZZ_Total_Produit_SH6</v>
      </c>
      <c r="C9723">
        <v>7527088.3660000004</v>
      </c>
      <c r="D9723">
        <v>20193</v>
      </c>
    </row>
    <row r="9724" spans="1:4" x14ac:dyDescent="0.25">
      <c r="A9724" t="str">
        <f>T("   110100")</f>
        <v xml:space="preserve">   110100</v>
      </c>
      <c r="B9724" t="str">
        <f>T("   Farines de froment [blé] ou de méteil")</f>
        <v xml:space="preserve">   Farines de froment [blé] ou de méteil</v>
      </c>
      <c r="C9724">
        <v>5956638.3660000004</v>
      </c>
      <c r="D9724">
        <v>20100</v>
      </c>
    </row>
    <row r="9725" spans="1:4" x14ac:dyDescent="0.25">
      <c r="A9725" t="str">
        <f>T("   852910")</f>
        <v xml:space="preserve">   852910</v>
      </c>
      <c r="B9725"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9725">
        <v>224926</v>
      </c>
      <c r="D9725">
        <v>14</v>
      </c>
    </row>
    <row r="9726" spans="1:4" x14ac:dyDescent="0.25">
      <c r="A9726" t="str">
        <f>T("   852990")</f>
        <v xml:space="preserve">   852990</v>
      </c>
      <c r="B9726" t="s">
        <v>471</v>
      </c>
      <c r="C9726">
        <v>1345524</v>
      </c>
      <c r="D9726">
        <v>79</v>
      </c>
    </row>
    <row r="9727" spans="1:4" x14ac:dyDescent="0.25">
      <c r="A9727" t="str">
        <f>T("SN")</f>
        <v>SN</v>
      </c>
      <c r="B9727" t="str">
        <f>T("Sénégal")</f>
        <v>Sénégal</v>
      </c>
    </row>
    <row r="9728" spans="1:4" x14ac:dyDescent="0.25">
      <c r="A9728" t="str">
        <f>T("   ZZ_Total_Produit_SH6")</f>
        <v xml:space="preserve">   ZZ_Total_Produit_SH6</v>
      </c>
      <c r="B9728" t="str">
        <f>T("   ZZ_Total_Produit_SH6")</f>
        <v xml:space="preserve">   ZZ_Total_Produit_SH6</v>
      </c>
      <c r="C9728">
        <v>6036941568.7189999</v>
      </c>
      <c r="D9728">
        <v>57193243.299999997</v>
      </c>
    </row>
    <row r="9729" spans="1:4" x14ac:dyDescent="0.25">
      <c r="A9729" t="str">
        <f>T("   030379")</f>
        <v xml:space="preserve">   030379</v>
      </c>
      <c r="B9729" t="s">
        <v>17</v>
      </c>
      <c r="C9729">
        <v>8750000</v>
      </c>
      <c r="D9729">
        <v>50000</v>
      </c>
    </row>
    <row r="9730" spans="1:4" x14ac:dyDescent="0.25">
      <c r="A9730" t="str">
        <f>T("   040221")</f>
        <v xml:space="preserve">   040221</v>
      </c>
      <c r="B9730" t="str">
        <f>T("   Lait et crème de lait, en poudre, en granulés ou sous d'autres formes solides, d'une teneur en poids de matières grasses &gt; 1,5%, sans addition de sucre ou d'autres édulcorants")</f>
        <v xml:space="preserve">   Lait et crème de lait, en poudre, en granulés ou sous d'autres formes solides, d'une teneur en poids de matières grasses &gt; 1,5%, sans addition de sucre ou d'autres édulcorants</v>
      </c>
      <c r="C9730">
        <v>3000000</v>
      </c>
      <c r="D9730">
        <v>5550</v>
      </c>
    </row>
    <row r="9731" spans="1:4" x14ac:dyDescent="0.25">
      <c r="A9731" t="str">
        <f>T("   090111")</f>
        <v xml:space="preserve">   090111</v>
      </c>
      <c r="B9731" t="str">
        <f>T("   Café, non torréfié, non décaféiné")</f>
        <v xml:space="preserve">   Café, non torréfié, non décaféiné</v>
      </c>
      <c r="C9731">
        <v>16500000</v>
      </c>
      <c r="D9731">
        <v>38840</v>
      </c>
    </row>
    <row r="9732" spans="1:4" x14ac:dyDescent="0.25">
      <c r="A9732" t="str">
        <f>T("   090190")</f>
        <v xml:space="preserve">   090190</v>
      </c>
      <c r="B9732" t="str">
        <f>T("   Coques et pellicules de café; succédanés du café contenant du café, quelles que soient les proportions du mélange")</f>
        <v xml:space="preserve">   Coques et pellicules de café; succédanés du café contenant du café, quelles que soient les proportions du mélange</v>
      </c>
      <c r="C9732">
        <v>1000000</v>
      </c>
      <c r="D9732">
        <v>3000</v>
      </c>
    </row>
    <row r="9733" spans="1:4" x14ac:dyDescent="0.25">
      <c r="A9733" t="str">
        <f>T("   110100")</f>
        <v xml:space="preserve">   110100</v>
      </c>
      <c r="B9733" t="str">
        <f>T("   Farines de froment [blé] ou de méteil")</f>
        <v xml:space="preserve">   Farines de froment [blé] ou de méteil</v>
      </c>
      <c r="C9733">
        <v>218693087.71900001</v>
      </c>
      <c r="D9733">
        <v>752000</v>
      </c>
    </row>
    <row r="9734" spans="1:4" x14ac:dyDescent="0.25">
      <c r="A9734" t="str">
        <f>T("   170490")</f>
        <v xml:space="preserve">   170490</v>
      </c>
      <c r="B9734" t="str">
        <f>T("   Sucreries sans cacao, y.c. le chocolat blanc (à l'excl. des gommes à mâcher)")</f>
        <v xml:space="preserve">   Sucreries sans cacao, y.c. le chocolat blanc (à l'excl. des gommes à mâcher)</v>
      </c>
      <c r="C9734">
        <v>15188099</v>
      </c>
      <c r="D9734">
        <v>2600</v>
      </c>
    </row>
    <row r="9735" spans="1:4" x14ac:dyDescent="0.25">
      <c r="A9735" t="str">
        <f>T("   180690")</f>
        <v xml:space="preserve">   180690</v>
      </c>
      <c r="B9735" t="str">
        <f>T("   Chocolat et autres préparations alimentaires contenant du cacao, en récipients ou en emballages immédiats d'un contenu &lt;= 2 kg (à l'excl. de la poudre de cacao et des produits présentés en tablettes, barres ou bâtons)")</f>
        <v xml:space="preserve">   Chocolat et autres préparations alimentaires contenant du cacao, en récipients ou en emballages immédiats d'un contenu &lt;= 2 kg (à l'excl. de la poudre de cacao et des produits présentés en tablettes, barres ou bâtons)</v>
      </c>
      <c r="C9735">
        <v>58356905</v>
      </c>
      <c r="D9735">
        <v>163956</v>
      </c>
    </row>
    <row r="9736" spans="1:4" x14ac:dyDescent="0.25">
      <c r="A9736" t="str">
        <f>T("   190190")</f>
        <v xml:space="preserve">   190190</v>
      </c>
      <c r="B9736" t="s">
        <v>49</v>
      </c>
      <c r="C9736">
        <v>13500000</v>
      </c>
      <c r="D9736">
        <v>27774</v>
      </c>
    </row>
    <row r="9737" spans="1:4" x14ac:dyDescent="0.25">
      <c r="A9737" t="str">
        <f>T("   190220")</f>
        <v xml:space="preserve">   190220</v>
      </c>
      <c r="B9737" t="str">
        <f>T("   Pâtes alimentaires, farcies de viande ou d'autres substances, même cuites ou autrement préparées")</f>
        <v xml:space="preserve">   Pâtes alimentaires, farcies de viande ou d'autres substances, même cuites ou autrement préparées</v>
      </c>
      <c r="C9737">
        <v>8652112</v>
      </c>
      <c r="D9737">
        <v>55620</v>
      </c>
    </row>
    <row r="9738" spans="1:4" x14ac:dyDescent="0.25">
      <c r="A9738" t="str">
        <f>T("   190590")</f>
        <v xml:space="preserve">   190590</v>
      </c>
      <c r="B9738" t="s">
        <v>51</v>
      </c>
      <c r="C9738">
        <v>179146</v>
      </c>
      <c r="D9738">
        <v>745</v>
      </c>
    </row>
    <row r="9739" spans="1:4" x14ac:dyDescent="0.25">
      <c r="A9739" t="str">
        <f>T("   200980")</f>
        <v xml:space="preserve">   200980</v>
      </c>
      <c r="B9739"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9739">
        <v>20194240</v>
      </c>
      <c r="D9739">
        <v>39390</v>
      </c>
    </row>
    <row r="9740" spans="1:4" x14ac:dyDescent="0.25">
      <c r="A9740" t="str">
        <f>T("   210330")</f>
        <v xml:space="preserve">   210330</v>
      </c>
      <c r="B9740" t="str">
        <f>T("   Farine de moutarde et moutarde préparée")</f>
        <v xml:space="preserve">   Farine de moutarde et moutarde préparée</v>
      </c>
      <c r="C9740">
        <v>20684249</v>
      </c>
      <c r="D9740">
        <v>53402</v>
      </c>
    </row>
    <row r="9741" spans="1:4" x14ac:dyDescent="0.25">
      <c r="A9741" t="str">
        <f>T("   210390")</f>
        <v xml:space="preserve">   210390</v>
      </c>
      <c r="B9741"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9741">
        <v>12500000</v>
      </c>
      <c r="D9741">
        <v>42480</v>
      </c>
    </row>
    <row r="9742" spans="1:4" x14ac:dyDescent="0.25">
      <c r="A9742" t="str">
        <f>T("   210410")</f>
        <v xml:space="preserve">   210410</v>
      </c>
      <c r="B9742" t="str">
        <f>T("   Préparations pour soupes, potages ou bouillons; soupes, potages ou bouillons préparés")</f>
        <v xml:space="preserve">   Préparations pour soupes, potages ou bouillons; soupes, potages ou bouillons préparés</v>
      </c>
      <c r="C9742">
        <v>78500000</v>
      </c>
      <c r="D9742">
        <v>314920</v>
      </c>
    </row>
    <row r="9743" spans="1:4" x14ac:dyDescent="0.25">
      <c r="A9743" t="str">
        <f>T("   220210")</f>
        <v xml:space="preserve">   220210</v>
      </c>
      <c r="B9743"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9743">
        <v>4400354</v>
      </c>
      <c r="D9743">
        <v>26565</v>
      </c>
    </row>
    <row r="9744" spans="1:4" x14ac:dyDescent="0.25">
      <c r="A9744" t="str">
        <f>T("   220710")</f>
        <v xml:space="preserve">   220710</v>
      </c>
      <c r="B9744" t="str">
        <f>T("   Alcool éthylique non dénaturé d'un titre alcoométrique volumique &gt;= 80% vol")</f>
        <v xml:space="preserve">   Alcool éthylique non dénaturé d'un titre alcoométrique volumique &gt;= 80% vol</v>
      </c>
      <c r="C9744">
        <v>990500</v>
      </c>
      <c r="D9744">
        <v>278</v>
      </c>
    </row>
    <row r="9745" spans="1:4" x14ac:dyDescent="0.25">
      <c r="A9745" t="str">
        <f>T("   230120")</f>
        <v xml:space="preserve">   230120</v>
      </c>
      <c r="B9745" t="str">
        <f>T("   Farines, poudres et agglomérés sous forme de pellets, de poissons ou de crustacés, de mollusques ou d'autres invertébrés aquatiques, impropres à l'alimentation humaine")</f>
        <v xml:space="preserve">   Farines, poudres et agglomérés sous forme de pellets, de poissons ou de crustacés, de mollusques ou d'autres invertébrés aquatiques, impropres à l'alimentation humaine</v>
      </c>
      <c r="C9745">
        <v>62952680</v>
      </c>
      <c r="D9745">
        <v>710000</v>
      </c>
    </row>
    <row r="9746" spans="1:4" x14ac:dyDescent="0.25">
      <c r="A9746" t="str">
        <f>T("   230990")</f>
        <v xml:space="preserve">   230990</v>
      </c>
      <c r="B9746" t="str">
        <f>T("   Préparations des types utilisés pour l'alimentation des animaux (à l'excl. des aliments pour chiens ou chats conditionnés pour la vente au détail)")</f>
        <v xml:space="preserve">   Préparations des types utilisés pour l'alimentation des animaux (à l'excl. des aliments pour chiens ou chats conditionnés pour la vente au détail)</v>
      </c>
      <c r="C9746">
        <v>2808505</v>
      </c>
      <c r="D9746">
        <v>40000</v>
      </c>
    </row>
    <row r="9747" spans="1:4" x14ac:dyDescent="0.25">
      <c r="A9747" t="str">
        <f>T("   240220")</f>
        <v xml:space="preserve">   240220</v>
      </c>
      <c r="B9747" t="str">
        <f>T("   Cigarettes contenant du tabac")</f>
        <v xml:space="preserve">   Cigarettes contenant du tabac</v>
      </c>
      <c r="C9747">
        <v>227982130</v>
      </c>
      <c r="D9747">
        <v>35623</v>
      </c>
    </row>
    <row r="9748" spans="1:4" x14ac:dyDescent="0.25">
      <c r="A9748" t="str">
        <f>T("   250100")</f>
        <v xml:space="preserve">   250100</v>
      </c>
      <c r="B9748" t="s">
        <v>63</v>
      </c>
      <c r="C9748">
        <v>1648904054</v>
      </c>
      <c r="D9748">
        <v>29759452</v>
      </c>
    </row>
    <row r="9749" spans="1:4" x14ac:dyDescent="0.25">
      <c r="A9749" t="str">
        <f>T("   252329")</f>
        <v xml:space="preserve">   252329</v>
      </c>
      <c r="B9749" t="str">
        <f>T("   Ciment Portland normal ou modéré (à l'excl. des ciments Portland blancs, même colorés artificiellement)")</f>
        <v xml:space="preserve">   Ciment Portland normal ou modéré (à l'excl. des ciments Portland blancs, même colorés artificiellement)</v>
      </c>
      <c r="C9749">
        <v>1072109047</v>
      </c>
      <c r="D9749">
        <v>22203000</v>
      </c>
    </row>
    <row r="9750" spans="1:4" x14ac:dyDescent="0.25">
      <c r="A9750" t="str">
        <f>T("   271019")</f>
        <v xml:space="preserve">   271019</v>
      </c>
      <c r="B9750" t="str">
        <f>T("   Huiles moyennes et préparations, de pétrole ou de minéraux bitumineux, n.d.a.")</f>
        <v xml:space="preserve">   Huiles moyennes et préparations, de pétrole ou de minéraux bitumineux, n.d.a.</v>
      </c>
      <c r="C9750">
        <v>397471053</v>
      </c>
      <c r="D9750">
        <v>466786</v>
      </c>
    </row>
    <row r="9751" spans="1:4" x14ac:dyDescent="0.25">
      <c r="A9751" t="str">
        <f>T("   282890")</f>
        <v xml:space="preserve">   282890</v>
      </c>
      <c r="B9751" t="str">
        <f>T("   Hypochlorites, chlorites et hypobromites (à l'excl. des hypochlorites de calcium)")</f>
        <v xml:space="preserve">   Hypochlorites, chlorites et hypobromites (à l'excl. des hypochlorites de calcium)</v>
      </c>
      <c r="C9751">
        <v>26445831</v>
      </c>
      <c r="D9751">
        <v>43493</v>
      </c>
    </row>
    <row r="9752" spans="1:4" x14ac:dyDescent="0.25">
      <c r="A9752" t="str">
        <f>T("   284700")</f>
        <v xml:space="preserve">   284700</v>
      </c>
      <c r="B9752" t="str">
        <f>T("   Peroxyde d'hydrogène [eau oxygénée], même solidifié avec de l'urée")</f>
        <v xml:space="preserve">   Peroxyde d'hydrogène [eau oxygénée], même solidifié avec de l'urée</v>
      </c>
      <c r="C9752">
        <v>208595</v>
      </c>
      <c r="D9752">
        <v>60</v>
      </c>
    </row>
    <row r="9753" spans="1:4" x14ac:dyDescent="0.25">
      <c r="A9753" t="str">
        <f>T("   300220")</f>
        <v xml:space="preserve">   300220</v>
      </c>
      <c r="B9753" t="str">
        <f>T("   Vaccins pour la médecine humaine")</f>
        <v xml:space="preserve">   Vaccins pour la médecine humaine</v>
      </c>
      <c r="C9753">
        <v>7614384</v>
      </c>
      <c r="D9753">
        <v>20</v>
      </c>
    </row>
    <row r="9754" spans="1:4" x14ac:dyDescent="0.25">
      <c r="A9754" t="str">
        <f>T("   300390")</f>
        <v xml:space="preserve">   300390</v>
      </c>
      <c r="B9754" t="s">
        <v>75</v>
      </c>
      <c r="C9754">
        <v>1791120</v>
      </c>
      <c r="D9754">
        <v>42</v>
      </c>
    </row>
    <row r="9755" spans="1:4" x14ac:dyDescent="0.25">
      <c r="A9755" t="str">
        <f>T("   300410")</f>
        <v xml:space="preserve">   300410</v>
      </c>
      <c r="B9755" t="s">
        <v>76</v>
      </c>
      <c r="C9755">
        <v>227529569</v>
      </c>
      <c r="D9755">
        <v>15126</v>
      </c>
    </row>
    <row r="9756" spans="1:4" x14ac:dyDescent="0.25">
      <c r="A9756" t="str">
        <f>T("   300490")</f>
        <v xml:space="preserve">   300490</v>
      </c>
      <c r="B9756" t="s">
        <v>80</v>
      </c>
      <c r="C9756">
        <v>441783887</v>
      </c>
      <c r="D9756">
        <v>53914</v>
      </c>
    </row>
    <row r="9757" spans="1:4" x14ac:dyDescent="0.25">
      <c r="A9757" t="str">
        <f>T("   330129")</f>
        <v xml:space="preserve">   330129</v>
      </c>
      <c r="B9757" t="str">
        <f>T("   HUILES ESSENTIELLES, DÉTERPÉNÉES OU NON, Y.C. CELLES DITES 'CONCRÈTES' OU 'ABSOLUES' (À L'EXCL. DES HUILES ESSENTIELLES D'AGRUMES OU DE MENTHES)")</f>
        <v xml:space="preserve">   HUILES ESSENTIELLES, DÉTERPÉNÉES OU NON, Y.C. CELLES DITES 'CONCRÈTES' OU 'ABSOLUES' (À L'EXCL. DES HUILES ESSENTIELLES D'AGRUMES OU DE MENTHES)</v>
      </c>
      <c r="C9757">
        <v>110202</v>
      </c>
      <c r="D9757">
        <v>32</v>
      </c>
    </row>
    <row r="9758" spans="1:4" x14ac:dyDescent="0.25">
      <c r="A9758" t="str">
        <f>T("   330210")</f>
        <v xml:space="preserve">   330210</v>
      </c>
      <c r="B9758" t="str">
        <f>T("   Mélanges de substances odoriférantes et mélanges, y.c. les solutions alcooliques, à base d'une ou de plusieurs de ces substances, des types utilisés comme matières de base pour les industries des produits alimentaires et des boissons")</f>
        <v xml:space="preserve">   Mélanges de substances odoriférantes et mélanges, y.c. les solutions alcooliques, à base d'une ou de plusieurs de ces substances, des types utilisés comme matières de base pour les industries des produits alimentaires et des boissons</v>
      </c>
      <c r="C9758">
        <v>6586371</v>
      </c>
      <c r="D9758">
        <v>18106</v>
      </c>
    </row>
    <row r="9759" spans="1:4" x14ac:dyDescent="0.25">
      <c r="A9759" t="str">
        <f>T("   330300")</f>
        <v xml:space="preserve">   330300</v>
      </c>
      <c r="B9759" t="str">
        <f>T("   Parfums et eaux de toilette (à l'excl. des préparations pour l'après-rasage [lotions after-shave] et des désodorisants corporels)")</f>
        <v xml:space="preserve">   Parfums et eaux de toilette (à l'excl. des préparations pour l'après-rasage [lotions after-shave] et des désodorisants corporels)</v>
      </c>
      <c r="C9759">
        <v>9086742</v>
      </c>
      <c r="D9759">
        <v>20073</v>
      </c>
    </row>
    <row r="9760" spans="1:4" x14ac:dyDescent="0.25">
      <c r="A9760" t="str">
        <f>T("   330420")</f>
        <v xml:space="preserve">   330420</v>
      </c>
      <c r="B9760" t="str">
        <f>T("   Produits de maquillage pour les yeux")</f>
        <v xml:space="preserve">   Produits de maquillage pour les yeux</v>
      </c>
      <c r="C9760">
        <v>158512</v>
      </c>
      <c r="D9760">
        <v>196</v>
      </c>
    </row>
    <row r="9761" spans="1:4" x14ac:dyDescent="0.25">
      <c r="A9761" t="str">
        <f>T("   330491")</f>
        <v xml:space="preserve">   330491</v>
      </c>
      <c r="B9761" t="str">
        <f>T("   Poudres pour le maquillage ou l'entretien ou les soins de la peau, y.c. les poudres pour bébés et les poudres compactes (à l'excl. des médicaments)")</f>
        <v xml:space="preserve">   Poudres pour le maquillage ou l'entretien ou les soins de la peau, y.c. les poudres pour bébés et les poudres compactes (à l'excl. des médicaments)</v>
      </c>
      <c r="C9761">
        <v>3496255</v>
      </c>
      <c r="D9761">
        <v>12671</v>
      </c>
    </row>
    <row r="9762" spans="1:4" x14ac:dyDescent="0.25">
      <c r="A9762" t="str">
        <f>T("   330499")</f>
        <v xml:space="preserve">   330499</v>
      </c>
      <c r="B9762" t="s">
        <v>101</v>
      </c>
      <c r="C9762">
        <v>17797975</v>
      </c>
      <c r="D9762">
        <v>56856</v>
      </c>
    </row>
    <row r="9763" spans="1:4" x14ac:dyDescent="0.25">
      <c r="A9763" t="str">
        <f>T("   330510")</f>
        <v xml:space="preserve">   330510</v>
      </c>
      <c r="B9763" t="str">
        <f>T("   Shampooings")</f>
        <v xml:space="preserve">   Shampooings</v>
      </c>
      <c r="C9763">
        <v>6001573</v>
      </c>
      <c r="D9763">
        <v>6625</v>
      </c>
    </row>
    <row r="9764" spans="1:4" x14ac:dyDescent="0.25">
      <c r="A9764" t="str">
        <f>T("   330590")</f>
        <v xml:space="preserve">   330590</v>
      </c>
      <c r="B9764" t="str">
        <f>T("   PRÉPARATIONS CAPILLAIRES (À L'EXCL. DES SHAMPOOINGS, DES LAQUES POUR CHEVEUX ET DES PRÉPARATIONS POUR L'ONDULATION OU LE DÉFRISAGE PERMANENTS)")</f>
        <v xml:space="preserve">   PRÉPARATIONS CAPILLAIRES (À L'EXCL. DES SHAMPOOINGS, DES LAQUES POUR CHEVEUX ET DES PRÉPARATIONS POUR L'ONDULATION OU LE DÉFRISAGE PERMANENTS)</v>
      </c>
      <c r="C9764">
        <v>8601279</v>
      </c>
      <c r="D9764">
        <v>33984</v>
      </c>
    </row>
    <row r="9765" spans="1:4" x14ac:dyDescent="0.25">
      <c r="A9765" t="str">
        <f>T("   330610")</f>
        <v xml:space="preserve">   330610</v>
      </c>
      <c r="B9765" t="str">
        <f>T("   Dentifrices, préparés, même des types utilisés par les dentistes")</f>
        <v xml:space="preserve">   Dentifrices, préparés, même des types utilisés par les dentistes</v>
      </c>
      <c r="C9765">
        <v>42815605</v>
      </c>
      <c r="D9765">
        <v>32133</v>
      </c>
    </row>
    <row r="9766" spans="1:4" x14ac:dyDescent="0.25">
      <c r="A9766" t="str">
        <f>T("   330690")</f>
        <v xml:space="preserve">   330690</v>
      </c>
      <c r="B9766" t="str">
        <f>T("   Préparations pour l'hygiène buccale ou dentaire, y.c. les poudres et crèmes pour faciliter l'adhérence des dentiers (à l'excl. des dentifrices et des fils utilisés pour nettoyer les espaces interdentaires [fils dentaires])")</f>
        <v xml:space="preserve">   Préparations pour l'hygiène buccale ou dentaire, y.c. les poudres et crèmes pour faciliter l'adhérence des dentiers (à l'excl. des dentifrices et des fils utilisés pour nettoyer les espaces interdentaires [fils dentaires])</v>
      </c>
      <c r="C9766">
        <v>5559538</v>
      </c>
      <c r="D9766">
        <v>5785</v>
      </c>
    </row>
    <row r="9767" spans="1:4" x14ac:dyDescent="0.25">
      <c r="A9767" t="str">
        <f>T("   330720")</f>
        <v xml:space="preserve">   330720</v>
      </c>
      <c r="B9767" t="str">
        <f>T("   Désodorisants corporels et antisudoraux, préparés")</f>
        <v xml:space="preserve">   Désodorisants corporels et antisudoraux, préparés</v>
      </c>
      <c r="C9767">
        <v>4888422</v>
      </c>
      <c r="D9767">
        <v>5515</v>
      </c>
    </row>
    <row r="9768" spans="1:4" x14ac:dyDescent="0.25">
      <c r="A9768" t="str">
        <f>T("   340111")</f>
        <v xml:space="preserve">   340111</v>
      </c>
      <c r="B9768" t="s">
        <v>102</v>
      </c>
      <c r="C9768">
        <v>181011226</v>
      </c>
      <c r="D9768">
        <v>162212</v>
      </c>
    </row>
    <row r="9769" spans="1:4" x14ac:dyDescent="0.25">
      <c r="A9769" t="str">
        <f>T("   340130")</f>
        <v xml:space="preserve">   340130</v>
      </c>
      <c r="B9769" t="str">
        <f>T("   Produits et préparations organiques tensio-actifs destinés au lavage de la peau, sous forme de liquide ou de crème, conditionnés pour la vente au détail, même contenant  du savon")</f>
        <v xml:space="preserve">   Produits et préparations organiques tensio-actifs destinés au lavage de la peau, sous forme de liquide ou de crème, conditionnés pour la vente au détail, même contenant  du savon</v>
      </c>
      <c r="C9769">
        <v>8639101</v>
      </c>
      <c r="D9769">
        <v>9293</v>
      </c>
    </row>
    <row r="9770" spans="1:4" x14ac:dyDescent="0.25">
      <c r="A9770" t="str">
        <f>T("   340220")</f>
        <v xml:space="preserve">   340220</v>
      </c>
      <c r="B9770" t="s">
        <v>104</v>
      </c>
      <c r="C9770">
        <v>25585745</v>
      </c>
      <c r="D9770">
        <v>33853</v>
      </c>
    </row>
    <row r="9771" spans="1:4" x14ac:dyDescent="0.25">
      <c r="A9771" t="str">
        <f>T("   340540")</f>
        <v xml:space="preserve">   340540</v>
      </c>
      <c r="B9771" t="str">
        <f>T("   Pâtes, poudres et autres préparations à récurer, même sous forme de papier, ouates, feutres, nontissés, matière plastique ou caoutchouc alvéolaires, imprégnés, enduits ou recouverts de ces préparations")</f>
        <v xml:space="preserve">   Pâtes, poudres et autres préparations à récurer, même sous forme de papier, ouates, feutres, nontissés, matière plastique ou caoutchouc alvéolaires, imprégnés, enduits ou recouverts de ces préparations</v>
      </c>
      <c r="C9771">
        <v>15614532</v>
      </c>
      <c r="D9771">
        <v>16459</v>
      </c>
    </row>
    <row r="9772" spans="1:4" x14ac:dyDescent="0.25">
      <c r="A9772" t="str">
        <f>T("   360500")</f>
        <v xml:space="preserve">   360500</v>
      </c>
      <c r="B9772" t="str">
        <f>T("   Allumettes (autres que les articles de pyrotechnie du n° 3604)")</f>
        <v xml:space="preserve">   Allumettes (autres que les articles de pyrotechnie du n° 3604)</v>
      </c>
      <c r="C9772">
        <v>808000</v>
      </c>
      <c r="D9772">
        <v>3045</v>
      </c>
    </row>
    <row r="9773" spans="1:4" x14ac:dyDescent="0.25">
      <c r="A9773" t="str">
        <f>T("   380290")</f>
        <v xml:space="preserve">   380290</v>
      </c>
      <c r="B9773" t="str">
        <f>T("   Kieselguhr activé, autres matières minérales naturelles activées et noirs d'origine animale, y.c. le noir animal épuisé (à l'excl. des charbons activés, des produits chimiques activés ainsi que de la diatomite calcinée sans agents frittants)")</f>
        <v xml:space="preserve">   Kieselguhr activé, autres matières minérales naturelles activées et noirs d'origine animale, y.c. le noir animal épuisé (à l'excl. des charbons activés, des produits chimiques activés ainsi que de la diatomite calcinée sans agents frittants)</v>
      </c>
      <c r="C9773">
        <v>843575</v>
      </c>
      <c r="D9773">
        <v>5000</v>
      </c>
    </row>
    <row r="9774" spans="1:4" x14ac:dyDescent="0.25">
      <c r="A9774" t="str">
        <f>T("   380910")</f>
        <v xml:space="preserve">   380910</v>
      </c>
      <c r="B9774" t="s">
        <v>120</v>
      </c>
      <c r="C9774">
        <v>130501</v>
      </c>
      <c r="D9774">
        <v>155</v>
      </c>
    </row>
    <row r="9775" spans="1:4" x14ac:dyDescent="0.25">
      <c r="A9775" t="str">
        <f>T("   391721")</f>
        <v xml:space="preserve">   391721</v>
      </c>
      <c r="B9775" t="str">
        <f>T("   TUBES ET TUYAUX RIGIDES, EN POLYMÈRES DE L'ÉTHYLÈNE")</f>
        <v xml:space="preserve">   TUBES ET TUYAUX RIGIDES, EN POLYMÈRES DE L'ÉTHYLÈNE</v>
      </c>
      <c r="C9775">
        <v>10676462</v>
      </c>
      <c r="D9775">
        <v>10096</v>
      </c>
    </row>
    <row r="9776" spans="1:4" x14ac:dyDescent="0.25">
      <c r="A9776" t="str">
        <f>T("   391740")</f>
        <v xml:space="preserve">   391740</v>
      </c>
      <c r="B9776" t="str">
        <f>T("   Accessoires pour tubes ou tuyaux [joints, coudes, raccords, par exemple], en matières plastiques")</f>
        <v xml:space="preserve">   Accessoires pour tubes ou tuyaux [joints, coudes, raccords, par exemple], en matières plastiques</v>
      </c>
      <c r="C9776">
        <v>5948601</v>
      </c>
      <c r="D9776">
        <v>6460</v>
      </c>
    </row>
    <row r="9777" spans="1:4" x14ac:dyDescent="0.25">
      <c r="A9777" t="str">
        <f>T("   392330")</f>
        <v xml:space="preserve">   392330</v>
      </c>
      <c r="B9777" t="str">
        <f>T("   Bonbonnes, bouteilles, flacons et articles simil. pour le transport ou l'emballage, en matières plastiques")</f>
        <v xml:space="preserve">   Bonbonnes, bouteilles, flacons et articles simil. pour le transport ou l'emballage, en matières plastiques</v>
      </c>
      <c r="C9777">
        <v>70202</v>
      </c>
      <c r="D9777">
        <v>324</v>
      </c>
    </row>
    <row r="9778" spans="1:4" x14ac:dyDescent="0.25">
      <c r="A9778" t="str">
        <f>T("   392350")</f>
        <v xml:space="preserve">   392350</v>
      </c>
      <c r="B9778" t="str">
        <f>T("   Bouchons, couvercles, capsules et autres dispositifs de fermeture, en matières plastiques")</f>
        <v xml:space="preserve">   Bouchons, couvercles, capsules et autres dispositifs de fermeture, en matières plastiques</v>
      </c>
      <c r="C9778">
        <v>5480968</v>
      </c>
      <c r="D9778">
        <v>301</v>
      </c>
    </row>
    <row r="9779" spans="1:4" x14ac:dyDescent="0.25">
      <c r="A9779" t="str">
        <f>T("   401120")</f>
        <v xml:space="preserve">   401120</v>
      </c>
      <c r="B9779"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9779">
        <v>8180276</v>
      </c>
      <c r="D9779">
        <v>2259</v>
      </c>
    </row>
    <row r="9780" spans="1:4" x14ac:dyDescent="0.25">
      <c r="A9780" t="str">
        <f>T("   480100")</f>
        <v xml:space="preserve">   480100</v>
      </c>
      <c r="B9780" t="str">
        <f>T("   Papier journal, en rouleaux d'une largeur &gt; 36 cm ou en feuilles de forme carrée ou rectangulaire dont au moins un coté &gt; 36 cm et l'autre &gt; 15 cm à l'état non plié")</f>
        <v xml:space="preserve">   Papier journal, en rouleaux d'une largeur &gt; 36 cm ou en feuilles de forme carrée ou rectangulaire dont au moins un coté &gt; 36 cm et l'autre &gt; 15 cm à l'état non plié</v>
      </c>
      <c r="C9780">
        <v>41227428</v>
      </c>
      <c r="D9780">
        <v>72086</v>
      </c>
    </row>
    <row r="9781" spans="1:4" x14ac:dyDescent="0.25">
      <c r="A9781" t="str">
        <f>T("   482190")</f>
        <v xml:space="preserve">   482190</v>
      </c>
      <c r="B9781" t="str">
        <f>T("   ÉTIQUETTES DE TOUS GENRES, EN PAPIER OU EN CARTON, NON-IMPRIMÉES")</f>
        <v xml:space="preserve">   ÉTIQUETTES DE TOUS GENRES, EN PAPIER OU EN CARTON, NON-IMPRIMÉES</v>
      </c>
      <c r="C9781">
        <v>2422430</v>
      </c>
      <c r="D9781">
        <v>432</v>
      </c>
    </row>
    <row r="9782" spans="1:4" x14ac:dyDescent="0.25">
      <c r="A9782" t="str">
        <f>T("   490191")</f>
        <v xml:space="preserve">   490191</v>
      </c>
      <c r="B9782" t="str">
        <f>T("   Dictionnaires et encyclopédies, même en fascicules")</f>
        <v xml:space="preserve">   Dictionnaires et encyclopédies, même en fascicules</v>
      </c>
      <c r="C9782">
        <v>2750000</v>
      </c>
      <c r="D9782">
        <v>283</v>
      </c>
    </row>
    <row r="9783" spans="1:4" x14ac:dyDescent="0.25">
      <c r="A9783" t="str">
        <f>T("   490290")</f>
        <v xml:space="preserve">   490290</v>
      </c>
      <c r="B9783" t="str">
        <f>T("   Journaux et publications périodiques imprimés, même illustrés ou contenant de la publicité (à l'excl. des journaux et publications paraissant au moins quatre fois par semaine)")</f>
        <v xml:space="preserve">   Journaux et publications périodiques imprimés, même illustrés ou contenant de la publicité (à l'excl. des journaux et publications paraissant au moins quatre fois par semaine)</v>
      </c>
      <c r="C9783">
        <v>1311267</v>
      </c>
      <c r="D9783">
        <v>183</v>
      </c>
    </row>
    <row r="9784" spans="1:4" x14ac:dyDescent="0.25">
      <c r="A9784" t="str">
        <f>T("   491000")</f>
        <v xml:space="preserve">   491000</v>
      </c>
      <c r="B9784" t="str">
        <f>T("   Calendriers de tous genres, imprimés, y.c. les blocs de calendriers à effeuiller")</f>
        <v xml:space="preserve">   Calendriers de tous genres, imprimés, y.c. les blocs de calendriers à effeuiller</v>
      </c>
      <c r="C9784">
        <v>401972</v>
      </c>
      <c r="D9784">
        <v>72</v>
      </c>
    </row>
    <row r="9785" spans="1:4" x14ac:dyDescent="0.25">
      <c r="A9785" t="str">
        <f>T("   491110")</f>
        <v xml:space="preserve">   491110</v>
      </c>
      <c r="B9785" t="str">
        <f>T("   Imprimés publicitaires, catalogues commerciaux et simil.")</f>
        <v xml:space="preserve">   Imprimés publicitaires, catalogues commerciaux et simil.</v>
      </c>
      <c r="C9785">
        <v>675000</v>
      </c>
      <c r="D9785">
        <v>4203</v>
      </c>
    </row>
    <row r="9786" spans="1:4" x14ac:dyDescent="0.25">
      <c r="A9786" t="str">
        <f>T("   491199")</f>
        <v xml:space="preserve">   491199</v>
      </c>
      <c r="B9786" t="str">
        <f>T("   Imprimés, n.d.a.")</f>
        <v xml:space="preserve">   Imprimés, n.d.a.</v>
      </c>
      <c r="C9786">
        <v>9037476</v>
      </c>
      <c r="D9786">
        <v>1879</v>
      </c>
    </row>
    <row r="9787" spans="1:4" x14ac:dyDescent="0.25">
      <c r="A9787" t="str">
        <f>T("   610520")</f>
        <v xml:space="preserve">   610520</v>
      </c>
      <c r="B9787" t="str">
        <f>T("   Chemises et chemisettes, en bonneterie, de fibres synthétiques ou artificielles, pour hommes ou garçonnets (sauf chemises de nuit, T-shirts et maillots de corps)")</f>
        <v xml:space="preserve">   Chemises et chemisettes, en bonneterie, de fibres synthétiques ou artificielles, pour hommes ou garçonnets (sauf chemises de nuit, T-shirts et maillots de corps)</v>
      </c>
      <c r="C9787">
        <v>327980</v>
      </c>
      <c r="D9787">
        <v>300</v>
      </c>
    </row>
    <row r="9788" spans="1:4" x14ac:dyDescent="0.25">
      <c r="A9788" t="str">
        <f>T("   610799")</f>
        <v xml:space="preserve">   610799</v>
      </c>
      <c r="B9788" t="str">
        <f>T("   Peignoirs de bain, robes de chambre et articles simil., en bonneterie, de matières textiles, pour hommes ou garçonnets (sauf de coton ou fibres synthétiques ou artificielles)")</f>
        <v xml:space="preserve">   Peignoirs de bain, robes de chambre et articles simil., en bonneterie, de matières textiles, pour hommes ou garçonnets (sauf de coton ou fibres synthétiques ou artificielles)</v>
      </c>
      <c r="C9788">
        <v>200000</v>
      </c>
      <c r="D9788">
        <v>250</v>
      </c>
    </row>
    <row r="9789" spans="1:4" x14ac:dyDescent="0.25">
      <c r="A9789" t="str">
        <f>T("   610990")</f>
        <v xml:space="preserve">   610990</v>
      </c>
      <c r="B9789" t="str">
        <f>T("   T-shirts et maillots de corps, en bonneterie, de matières textiles (sauf de coton)")</f>
        <v xml:space="preserve">   T-shirts et maillots de corps, en bonneterie, de matières textiles (sauf de coton)</v>
      </c>
      <c r="C9789">
        <v>28269</v>
      </c>
      <c r="D9789">
        <v>12</v>
      </c>
    </row>
    <row r="9790" spans="1:4" x14ac:dyDescent="0.25">
      <c r="A9790" t="str">
        <f>T("   620319")</f>
        <v xml:space="preserve">   620319</v>
      </c>
      <c r="B9790" t="s">
        <v>265</v>
      </c>
      <c r="C9790">
        <v>404800</v>
      </c>
      <c r="D9790">
        <v>50</v>
      </c>
    </row>
    <row r="9791" spans="1:4" x14ac:dyDescent="0.25">
      <c r="A9791" t="str">
        <f>T("   620590")</f>
        <v xml:space="preserve">   620590</v>
      </c>
      <c r="B9791"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9791">
        <v>400000</v>
      </c>
      <c r="D9791">
        <v>450</v>
      </c>
    </row>
    <row r="9792" spans="1:4" x14ac:dyDescent="0.25">
      <c r="A9792" t="str">
        <f>T("   620640")</f>
        <v xml:space="preserve">   620640</v>
      </c>
      <c r="B9792" t="str">
        <f>T("   Chemisiers, blouses, blouses-chemisiers et chemisettes, de fibres synthétiques ou artificielles, pour femmes ou fillettes (autres qu'en bonneterie et sauf gilets de corps et chemises de jour)")</f>
        <v xml:space="preserve">   Chemisiers, blouses, blouses-chemisiers et chemisettes, de fibres synthétiques ou artificielles, pour femmes ou fillettes (autres qu'en bonneterie et sauf gilets de corps et chemises de jour)</v>
      </c>
      <c r="C9792">
        <v>10527</v>
      </c>
      <c r="D9792">
        <v>1</v>
      </c>
    </row>
    <row r="9793" spans="1:4" x14ac:dyDescent="0.25">
      <c r="A9793" t="str">
        <f>T("   621040")</f>
        <v xml:space="preserve">   621040</v>
      </c>
      <c r="B9793" t="s">
        <v>271</v>
      </c>
      <c r="C9793">
        <v>3719140</v>
      </c>
      <c r="D9793">
        <v>798</v>
      </c>
    </row>
    <row r="9794" spans="1:4" x14ac:dyDescent="0.25">
      <c r="A9794" t="str">
        <f>T("   621050")</f>
        <v xml:space="preserve">   621050</v>
      </c>
      <c r="B9794" t="s">
        <v>272</v>
      </c>
      <c r="C9794">
        <v>5000000</v>
      </c>
      <c r="D9794">
        <v>1500</v>
      </c>
    </row>
    <row r="9795" spans="1:4" x14ac:dyDescent="0.25">
      <c r="A9795" t="str">
        <f>T("   630790")</f>
        <v xml:space="preserve">   630790</v>
      </c>
      <c r="B9795" t="str">
        <f>T("   Articles de matières textiles, confectionnés, y.c. les patrons de vêtements n.d.a.")</f>
        <v xml:space="preserve">   Articles de matières textiles, confectionnés, y.c. les patrons de vêtements n.d.a.</v>
      </c>
      <c r="C9795">
        <v>299453</v>
      </c>
      <c r="D9795">
        <v>4</v>
      </c>
    </row>
    <row r="9796" spans="1:4" x14ac:dyDescent="0.25">
      <c r="A9796" t="str">
        <f>T("   630900")</f>
        <v xml:space="preserve">   630900</v>
      </c>
      <c r="B9796" t="s">
        <v>278</v>
      </c>
      <c r="C9796">
        <v>2000000</v>
      </c>
      <c r="D9796">
        <v>3000</v>
      </c>
    </row>
    <row r="9797" spans="1:4" x14ac:dyDescent="0.25">
      <c r="A9797" t="str">
        <f>T("   640199")</f>
        <v xml:space="preserve">   640199</v>
      </c>
      <c r="B9797" t="s">
        <v>279</v>
      </c>
      <c r="C9797">
        <v>90000</v>
      </c>
      <c r="D9797">
        <v>70</v>
      </c>
    </row>
    <row r="9798" spans="1:4" x14ac:dyDescent="0.25">
      <c r="A9798" t="str">
        <f>T("   640590")</f>
        <v xml:space="preserve">   640590</v>
      </c>
      <c r="B9798" t="s">
        <v>289</v>
      </c>
      <c r="C9798">
        <v>150520</v>
      </c>
      <c r="D9798">
        <v>50</v>
      </c>
    </row>
    <row r="9799" spans="1:4" x14ac:dyDescent="0.25">
      <c r="A9799" t="str">
        <f>T("   650699")</f>
        <v xml:space="preserve">   650699</v>
      </c>
      <c r="B9799" t="str">
        <f>T("   Chapeaux et autres coiffures, même garnis, n.d.a.")</f>
        <v xml:space="preserve">   Chapeaux et autres coiffures, même garnis, n.d.a.</v>
      </c>
      <c r="C9799">
        <v>10527</v>
      </c>
      <c r="D9799">
        <v>1</v>
      </c>
    </row>
    <row r="9800" spans="1:4" x14ac:dyDescent="0.25">
      <c r="A9800" t="str">
        <f>T("   681110")</f>
        <v xml:space="preserve">   681110</v>
      </c>
      <c r="B9800" t="str">
        <f>T("   Plaques ondulées en amiante-ciment, cellulose-ciment ou simil.")</f>
        <v xml:space="preserve">   Plaques ondulées en amiante-ciment, cellulose-ciment ou simil.</v>
      </c>
      <c r="C9800">
        <v>143193887</v>
      </c>
      <c r="D9800">
        <v>1119500</v>
      </c>
    </row>
    <row r="9801" spans="1:4" x14ac:dyDescent="0.25">
      <c r="A9801" t="str">
        <f>T("   681120")</f>
        <v xml:space="preserve">   681120</v>
      </c>
      <c r="B9801" t="str">
        <f>T("   Plaques, panneaux, carreaux, tuiles et articles simil., en amiante-ciment, cellulose-ciment ou simil. (sauf plaques ondulées)")</f>
        <v xml:space="preserve">   Plaques, panneaux, carreaux, tuiles et articles simil., en amiante-ciment, cellulose-ciment ou simil. (sauf plaques ondulées)</v>
      </c>
      <c r="C9801">
        <v>279839</v>
      </c>
      <c r="D9801">
        <v>500</v>
      </c>
    </row>
    <row r="9802" spans="1:4" x14ac:dyDescent="0.25">
      <c r="A9802" t="str">
        <f>T("   702000")</f>
        <v xml:space="preserve">   702000</v>
      </c>
      <c r="B9802" t="str">
        <f>T("   Ouvrages en verre n.d.a.")</f>
        <v xml:space="preserve">   Ouvrages en verre n.d.a.</v>
      </c>
      <c r="C9802">
        <v>327980</v>
      </c>
      <c r="D9802">
        <v>959</v>
      </c>
    </row>
    <row r="9803" spans="1:4" x14ac:dyDescent="0.25">
      <c r="A9803" t="str">
        <f>T("   730690")</f>
        <v xml:space="preserve">   730690</v>
      </c>
      <c r="B9803" t="str">
        <f>T("   Tubes, tuyaux et profilés creux [p.ex. rivés, agrafés ou à bords simplement rapprochés], en fer ou en acier (sauf tubes sans soudure ou soudés et tubes de sections intérieure et extérieure circulaires et d'un diamètre extérieur &gt; 406,4 mm)")</f>
        <v xml:space="preserve">   Tubes, tuyaux et profilés creux [p.ex. rivés, agrafés ou à bords simplement rapprochés], en fer ou en acier (sauf tubes sans soudure ou soudés et tubes de sections intérieure et extérieure circulaires et d'un diamètre extérieur &gt; 406,4 mm)</v>
      </c>
      <c r="C9803">
        <v>2157719</v>
      </c>
      <c r="D9803">
        <v>416</v>
      </c>
    </row>
    <row r="9804" spans="1:4" x14ac:dyDescent="0.25">
      <c r="A9804" t="str">
        <f>T("   732392")</f>
        <v xml:space="preserve">   732392</v>
      </c>
      <c r="B9804" t="s">
        <v>365</v>
      </c>
      <c r="C9804">
        <v>1500000</v>
      </c>
      <c r="D9804">
        <v>3000</v>
      </c>
    </row>
    <row r="9805" spans="1:4" x14ac:dyDescent="0.25">
      <c r="A9805" t="str">
        <f>T("   732394")</f>
        <v xml:space="preserve">   732394</v>
      </c>
      <c r="B9805" t="s">
        <v>367</v>
      </c>
      <c r="C9805">
        <v>1334001</v>
      </c>
      <c r="D9805">
        <v>952</v>
      </c>
    </row>
    <row r="9806" spans="1:4" x14ac:dyDescent="0.25">
      <c r="A9806" t="str">
        <f>T("   732399")</f>
        <v xml:space="preserve">   732399</v>
      </c>
      <c r="B9806" t="s">
        <v>368</v>
      </c>
      <c r="C9806">
        <v>3200000</v>
      </c>
      <c r="D9806">
        <v>329</v>
      </c>
    </row>
    <row r="9807" spans="1:4" x14ac:dyDescent="0.25">
      <c r="A9807" t="str">
        <f>T("   761519")</f>
        <v xml:space="preserve">   761519</v>
      </c>
      <c r="B9807" t="s">
        <v>373</v>
      </c>
      <c r="C9807">
        <v>131192</v>
      </c>
      <c r="D9807">
        <v>200</v>
      </c>
    </row>
    <row r="9808" spans="1:4" x14ac:dyDescent="0.25">
      <c r="A9808" t="str">
        <f>T("   761699")</f>
        <v xml:space="preserve">   761699</v>
      </c>
      <c r="B9808" t="str">
        <f>T("   Ouvrages en aluminium, n.d.a.")</f>
        <v xml:space="preserve">   Ouvrages en aluminium, n.d.a.</v>
      </c>
      <c r="C9808">
        <v>200000</v>
      </c>
      <c r="D9808">
        <v>300</v>
      </c>
    </row>
    <row r="9809" spans="1:4" x14ac:dyDescent="0.25">
      <c r="A9809" t="str">
        <f>T("   841420")</f>
        <v xml:space="preserve">   841420</v>
      </c>
      <c r="B9809" t="str">
        <f>T("   Pompes à air, à main ou à pied")</f>
        <v xml:space="preserve">   Pompes à air, à main ou à pied</v>
      </c>
      <c r="C9809">
        <v>150178</v>
      </c>
      <c r="D9809">
        <v>4</v>
      </c>
    </row>
    <row r="9810" spans="1:4" x14ac:dyDescent="0.25">
      <c r="A9810" t="str">
        <f>T("   841510")</f>
        <v xml:space="preserve">   841510</v>
      </c>
      <c r="B9810" t="s">
        <v>399</v>
      </c>
      <c r="C9810">
        <v>1000000</v>
      </c>
      <c r="D9810">
        <v>103</v>
      </c>
    </row>
    <row r="9811" spans="1:4" x14ac:dyDescent="0.25">
      <c r="A9811" t="str">
        <f>T("   841829")</f>
        <v xml:space="preserve">   841829</v>
      </c>
      <c r="B9811" t="str">
        <f>T("   Réfrigérateurs ménagers à absorption, non-électriques")</f>
        <v xml:space="preserve">   Réfrigérateurs ménagers à absorption, non-électriques</v>
      </c>
      <c r="C9811">
        <v>380000</v>
      </c>
      <c r="D9811">
        <v>138</v>
      </c>
    </row>
    <row r="9812" spans="1:4" x14ac:dyDescent="0.25">
      <c r="A9812" t="str">
        <f>T("   842139")</f>
        <v xml:space="preserve">   842139</v>
      </c>
      <c r="B9812" t="str">
        <f>T("   Appareils pour la filtration ou l'épuration des gaz (autres que pour la séparation isotopique et sauf les filtres d'entrée d'air pour moteurs à allumage par étincelles ou par compression)")</f>
        <v xml:space="preserve">   Appareils pour la filtration ou l'épuration des gaz (autres que pour la séparation isotopique et sauf les filtres d'entrée d'air pour moteurs à allumage par étincelles ou par compression)</v>
      </c>
      <c r="C9812">
        <v>529292</v>
      </c>
      <c r="D9812">
        <v>4</v>
      </c>
    </row>
    <row r="9813" spans="1:4" x14ac:dyDescent="0.25">
      <c r="A9813" t="str">
        <f>T("   842230")</f>
        <v xml:space="preserve">   842230</v>
      </c>
      <c r="B9813" t="str">
        <f>T("   Machines et appareils à remplir, fermer, boucher ou étiqueter les bouteilles, boîtes, sacs ou autres contenants; machines et appareils à capsuler les bouteilles, pots, tubes et contenants analogues; appareils à gazéifier les boissons")</f>
        <v xml:space="preserve">   Machines et appareils à remplir, fermer, boucher ou étiqueter les bouteilles, boîtes, sacs ou autres contenants; machines et appareils à capsuler les bouteilles, pots, tubes et contenants analogues; appareils à gazéifier les boissons</v>
      </c>
      <c r="C9813">
        <v>10066350</v>
      </c>
      <c r="D9813">
        <v>75000</v>
      </c>
    </row>
    <row r="9814" spans="1:4" x14ac:dyDescent="0.25">
      <c r="A9814" t="str">
        <f>T("   843049")</f>
        <v xml:space="preserve">   843049</v>
      </c>
      <c r="B9814" t="str">
        <f>T("   Machines de sondage ou de forage de la terre, des minéraux ou des minerais non autopropulsées et non hydrauliques (à l'excl. des machines à creuser les tunnels et autres machines à creuser les galeries, et sauf outillage pour emploi à la main)")</f>
        <v xml:space="preserve">   Machines de sondage ou de forage de la terre, des minéraux ou des minerais non autopropulsées et non hydrauliques (à l'excl. des machines à creuser les tunnels et autres machines à creuser les galeries, et sauf outillage pour emploi à la main)</v>
      </c>
      <c r="C9814">
        <v>146430169</v>
      </c>
      <c r="D9814">
        <v>10000</v>
      </c>
    </row>
    <row r="9815" spans="1:4" x14ac:dyDescent="0.25">
      <c r="A9815" t="str">
        <f>T("   847010")</f>
        <v xml:space="preserve">   847010</v>
      </c>
      <c r="B9815" t="s">
        <v>435</v>
      </c>
      <c r="C9815">
        <v>75574</v>
      </c>
      <c r="D9815">
        <v>34</v>
      </c>
    </row>
    <row r="9816" spans="1:4" x14ac:dyDescent="0.25">
      <c r="A9816" t="str">
        <f>T("   848230")</f>
        <v xml:space="preserve">   848230</v>
      </c>
      <c r="B9816" t="str">
        <f>T("   Roulements à rouleaux en forme de tonneau")</f>
        <v xml:space="preserve">   Roulements à rouleaux en forme de tonneau</v>
      </c>
      <c r="C9816">
        <v>50000</v>
      </c>
      <c r="D9816">
        <v>200</v>
      </c>
    </row>
    <row r="9817" spans="1:4" x14ac:dyDescent="0.25">
      <c r="A9817" t="str">
        <f>T("   850421")</f>
        <v xml:space="preserve">   850421</v>
      </c>
      <c r="B9817" t="str">
        <f>T("   Transformateurs à diélectrique liquide, puissance &lt;= 650 kVA")</f>
        <v xml:space="preserve">   Transformateurs à diélectrique liquide, puissance &lt;= 650 kVA</v>
      </c>
      <c r="C9817">
        <v>12381882</v>
      </c>
      <c r="D9817">
        <v>2394</v>
      </c>
    </row>
    <row r="9818" spans="1:4" x14ac:dyDescent="0.25">
      <c r="A9818" t="str">
        <f>T("   850440")</f>
        <v xml:space="preserve">   850440</v>
      </c>
      <c r="B9818" t="str">
        <f>T("   CONVERTISSEURS STATIQUES")</f>
        <v xml:space="preserve">   CONVERTISSEURS STATIQUES</v>
      </c>
      <c r="C9818">
        <v>200237</v>
      </c>
      <c r="D9818">
        <v>5</v>
      </c>
    </row>
    <row r="9819" spans="1:4" x14ac:dyDescent="0.25">
      <c r="A9819" t="str">
        <f>T("   850680")</f>
        <v xml:space="preserve">   850680</v>
      </c>
      <c r="B9819" t="str">
        <f>T("   Piles et batteries de piles électriques (sauf hors d'usage et autres que piles et batteries à l'oxyde d'argent, de mercure, au bioxyde de manganèse, au lithium et à l'air-zinc)")</f>
        <v xml:space="preserve">   Piles et batteries de piles électriques (sauf hors d'usage et autres que piles et batteries à l'oxyde d'argent, de mercure, au bioxyde de manganèse, au lithium et à l'air-zinc)</v>
      </c>
      <c r="C9819">
        <v>1484129</v>
      </c>
      <c r="D9819">
        <v>281</v>
      </c>
    </row>
    <row r="9820" spans="1:4" x14ac:dyDescent="0.25">
      <c r="A9820" t="str">
        <f>T("   850780")</f>
        <v xml:space="preserve">   850780</v>
      </c>
      <c r="B9820" t="str">
        <f>T("   Accumulateurs électriques (sauf hors d'usage et autres qu'au plomb, au nickel-cadmium ou au nickel-fer)")</f>
        <v xml:space="preserve">   Accumulateurs électriques (sauf hors d'usage et autres qu'au plomb, au nickel-cadmium ou au nickel-fer)</v>
      </c>
      <c r="C9820">
        <v>2589083</v>
      </c>
      <c r="D9820">
        <v>3196</v>
      </c>
    </row>
    <row r="9821" spans="1:4" x14ac:dyDescent="0.25">
      <c r="A9821" t="str">
        <f>T("   851660")</f>
        <v xml:space="preserve">   851660</v>
      </c>
      <c r="B9821" t="str">
        <f>T("   Fours, cuisinières, réchauds, tables de cuisson, grils et rôtissoires électriques, pour usages domestiques (sauf fours destinés au chauffage des locaux et fours à micro-ondes)")</f>
        <v xml:space="preserve">   Fours, cuisinières, réchauds, tables de cuisson, grils et rôtissoires électriques, pour usages domestiques (sauf fours destinés au chauffage des locaux et fours à micro-ondes)</v>
      </c>
      <c r="C9821">
        <v>150000</v>
      </c>
      <c r="D9821">
        <v>150</v>
      </c>
    </row>
    <row r="9822" spans="1:4" x14ac:dyDescent="0.25">
      <c r="A9822" t="str">
        <f>T("   852790")</f>
        <v xml:space="preserve">   852790</v>
      </c>
      <c r="B9822" t="str">
        <f>T("   Récepteurs pour la radiotéléphonie, la radiotélégraphie ou la radiodiffusion commerciale")</f>
        <v xml:space="preserve">   Récepteurs pour la radiotéléphonie, la radiotélégraphie ou la radiodiffusion commerciale</v>
      </c>
      <c r="C9822">
        <v>17578488</v>
      </c>
      <c r="D9822">
        <v>14</v>
      </c>
    </row>
    <row r="9823" spans="1:4" x14ac:dyDescent="0.25">
      <c r="A9823" t="str">
        <f>T("   852812")</f>
        <v xml:space="preserve">   852812</v>
      </c>
      <c r="B9823"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9823">
        <v>250000</v>
      </c>
      <c r="D9823">
        <v>91</v>
      </c>
    </row>
    <row r="9824" spans="1:4" x14ac:dyDescent="0.25">
      <c r="A9824" t="str">
        <f>T("   852910")</f>
        <v xml:space="preserve">   852910</v>
      </c>
      <c r="B9824"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9824">
        <v>660292</v>
      </c>
      <c r="D9824">
        <v>22</v>
      </c>
    </row>
    <row r="9825" spans="1:4" x14ac:dyDescent="0.25">
      <c r="A9825" t="str">
        <f>T("   853530")</f>
        <v xml:space="preserve">   853530</v>
      </c>
      <c r="B9825" t="str">
        <f>T("   Sectionneurs et interrupteurs, pour une tension &gt; 1.000 V")</f>
        <v xml:space="preserve">   Sectionneurs et interrupteurs, pour une tension &gt; 1.000 V</v>
      </c>
      <c r="C9825">
        <v>13069092</v>
      </c>
      <c r="D9825">
        <v>2525</v>
      </c>
    </row>
    <row r="9826" spans="1:4" x14ac:dyDescent="0.25">
      <c r="A9826" t="str">
        <f>T("   853650")</f>
        <v xml:space="preserve">   853650</v>
      </c>
      <c r="B9826" t="str">
        <f>T("   Interrupteurs, sectionneurs et commutateurs, pour une tension &lt;= 1.000 V (autres que relais et disjoncteurs)")</f>
        <v xml:space="preserve">   Interrupteurs, sectionneurs et commutateurs, pour une tension &lt;= 1.000 V (autres que relais et disjoncteurs)</v>
      </c>
      <c r="C9826">
        <v>65250</v>
      </c>
      <c r="D9826">
        <v>0.3</v>
      </c>
    </row>
    <row r="9827" spans="1:4" x14ac:dyDescent="0.25">
      <c r="A9827" t="str">
        <f>T("   853690")</f>
        <v xml:space="preserve">   853690</v>
      </c>
      <c r="B9827" t="s">
        <v>474</v>
      </c>
      <c r="C9827">
        <v>5337050</v>
      </c>
      <c r="D9827">
        <v>1031</v>
      </c>
    </row>
    <row r="9828" spans="1:4" x14ac:dyDescent="0.25">
      <c r="A9828" t="str">
        <f>T("   853710")</f>
        <v xml:space="preserve">   853710</v>
      </c>
      <c r="B9828"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9828">
        <v>167819372</v>
      </c>
      <c r="D9828">
        <v>4875</v>
      </c>
    </row>
    <row r="9829" spans="1:4" x14ac:dyDescent="0.25">
      <c r="A9829" t="str">
        <f>T("   853922")</f>
        <v xml:space="preserve">   853922</v>
      </c>
      <c r="B9829" t="str">
        <f>T("   Lampes et tubes à incandescence, puissance &lt;= 200 W, tension &gt; 100 V (autres que lampes et tubes halogènes, au tungstène et lampes à rayons ultraviolets ou infrarouges)")</f>
        <v xml:space="preserve">   Lampes et tubes à incandescence, puissance &lt;= 200 W, tension &gt; 100 V (autres que lampes et tubes halogènes, au tungstène et lampes à rayons ultraviolets ou infrarouges)</v>
      </c>
      <c r="C9829">
        <v>9068630</v>
      </c>
      <c r="D9829">
        <v>1</v>
      </c>
    </row>
    <row r="9830" spans="1:4" x14ac:dyDescent="0.25">
      <c r="A9830" t="str">
        <f>T("   853939")</f>
        <v xml:space="preserve">   853939</v>
      </c>
      <c r="B9830" t="str">
        <f>T("   Lampes et tubes à décharge (autres que fluorescents, à cathode chaude, à vapeur de mercure ou de sodium, à halogénure métallique et qu'à rayons ultraviolets)")</f>
        <v xml:space="preserve">   Lampes et tubes à décharge (autres que fluorescents, à cathode chaude, à vapeur de mercure ou de sodium, à halogénure métallique et qu'à rayons ultraviolets)</v>
      </c>
      <c r="C9830">
        <v>819950</v>
      </c>
      <c r="D9830">
        <v>3000</v>
      </c>
    </row>
    <row r="9831" spans="1:4" x14ac:dyDescent="0.25">
      <c r="A9831" t="str">
        <f>T("   854229")</f>
        <v xml:space="preserve">   854229</v>
      </c>
      <c r="B9831" t="str">
        <f>T("   Circuits intégrés monolithiques, analogiques ou analogiques-numériques")</f>
        <v xml:space="preserve">   Circuits intégrés monolithiques, analogiques ou analogiques-numériques</v>
      </c>
      <c r="C9831">
        <v>325385</v>
      </c>
      <c r="D9831">
        <v>6</v>
      </c>
    </row>
    <row r="9832" spans="1:4" x14ac:dyDescent="0.25">
      <c r="A9832" t="str">
        <f>T("   854420")</f>
        <v xml:space="preserve">   854420</v>
      </c>
      <c r="B9832" t="str">
        <f>T("   Câbles coaxiaux et autres conducteurs électriques coaxiaux, isolés")</f>
        <v xml:space="preserve">   Câbles coaxiaux et autres conducteurs électriques coaxiaux, isolés</v>
      </c>
      <c r="C9832">
        <v>12178816</v>
      </c>
      <c r="D9832">
        <v>2355</v>
      </c>
    </row>
    <row r="9833" spans="1:4" x14ac:dyDescent="0.25">
      <c r="A9833" t="str">
        <f>T("   854449")</f>
        <v xml:space="preserve">   854449</v>
      </c>
      <c r="B9833" t="str">
        <f>T("   CONDUCTEURS ÉLECTRIQUES, POUR TENSION &lt;= 1.000 V, ISOLÉS, SANS PIÈCES DE CONNEXION, N.D.A.")</f>
        <v xml:space="preserve">   CONDUCTEURS ÉLECTRIQUES, POUR TENSION &lt;= 1.000 V, ISOLÉS, SANS PIÈCES DE CONNEXION, N.D.A.</v>
      </c>
      <c r="C9833">
        <v>86136393</v>
      </c>
      <c r="D9833">
        <v>381002</v>
      </c>
    </row>
    <row r="9834" spans="1:4" x14ac:dyDescent="0.25">
      <c r="A9834" t="str">
        <f>T("   854451")</f>
        <v xml:space="preserve">   854451</v>
      </c>
      <c r="B9834" t="str">
        <f>T("   Conducteurs électriques, pour tension &gt; 80 V mais &lt;= 1.000 V, avec pièces de connexion, n.d.a.")</f>
        <v xml:space="preserve">   Conducteurs électriques, pour tension &gt; 80 V mais &lt;= 1.000 V, avec pièces de connexion, n.d.a.</v>
      </c>
      <c r="C9834">
        <v>58480802</v>
      </c>
      <c r="D9834">
        <v>17709</v>
      </c>
    </row>
    <row r="9835" spans="1:4" x14ac:dyDescent="0.25">
      <c r="A9835" t="str">
        <f>T("   854459")</f>
        <v xml:space="preserve">   854459</v>
      </c>
      <c r="B9835" t="str">
        <f>T("   Conducteurs électriques, pour tension &gt; 80 V mais &lt;= 1.000 V, sans pièces de connexion, n.d.a.")</f>
        <v xml:space="preserve">   Conducteurs électriques, pour tension &gt; 80 V mais &lt;= 1.000 V, sans pièces de connexion, n.d.a.</v>
      </c>
      <c r="C9835">
        <v>33724318</v>
      </c>
      <c r="D9835">
        <v>48002</v>
      </c>
    </row>
    <row r="9836" spans="1:4" x14ac:dyDescent="0.25">
      <c r="A9836" t="str">
        <f>T("   870322")</f>
        <v xml:space="preserve">   870322</v>
      </c>
      <c r="B9836" t="s">
        <v>480</v>
      </c>
      <c r="C9836">
        <v>5183690</v>
      </c>
      <c r="D9836">
        <v>1200</v>
      </c>
    </row>
    <row r="9837" spans="1:4" x14ac:dyDescent="0.25">
      <c r="A9837" t="str">
        <f>T("   870323")</f>
        <v xml:space="preserve">   870323</v>
      </c>
      <c r="B9837" t="s">
        <v>481</v>
      </c>
      <c r="C9837">
        <v>32340105</v>
      </c>
      <c r="D9837">
        <v>3000</v>
      </c>
    </row>
    <row r="9838" spans="1:4" x14ac:dyDescent="0.25">
      <c r="A9838" t="str">
        <f>T("   870332")</f>
        <v xml:space="preserve">   870332</v>
      </c>
      <c r="B9838" t="s">
        <v>484</v>
      </c>
      <c r="C9838">
        <v>12000000</v>
      </c>
      <c r="D9838">
        <v>1445</v>
      </c>
    </row>
    <row r="9839" spans="1:4" x14ac:dyDescent="0.25">
      <c r="A9839" t="str">
        <f>T("   870421")</f>
        <v xml:space="preserve">   870421</v>
      </c>
      <c r="B9839" t="s">
        <v>486</v>
      </c>
      <c r="C9839">
        <v>2240770</v>
      </c>
      <c r="D9839">
        <v>3500</v>
      </c>
    </row>
    <row r="9840" spans="1:4" x14ac:dyDescent="0.25">
      <c r="A9840" t="str">
        <f>T("   870520")</f>
        <v xml:space="preserve">   870520</v>
      </c>
      <c r="B9840" t="str">
        <f>T("   Derricks automobiles pour le sondage ou le forage")</f>
        <v xml:space="preserve">   Derricks automobiles pour le sondage ou le forage</v>
      </c>
      <c r="C9840">
        <v>153710583</v>
      </c>
      <c r="D9840">
        <v>42000</v>
      </c>
    </row>
    <row r="9841" spans="1:4" x14ac:dyDescent="0.25">
      <c r="A9841" t="str">
        <f>T("   870899")</f>
        <v xml:space="preserve">   870899</v>
      </c>
      <c r="B9841"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9841">
        <v>1829627</v>
      </c>
      <c r="D9841">
        <v>60</v>
      </c>
    </row>
    <row r="9842" spans="1:4" x14ac:dyDescent="0.25">
      <c r="A9842" t="str">
        <f>T("   901580")</f>
        <v xml:space="preserve">   901580</v>
      </c>
      <c r="B9842" t="s">
        <v>501</v>
      </c>
      <c r="C9842">
        <v>530590</v>
      </c>
      <c r="D9842">
        <v>44</v>
      </c>
    </row>
    <row r="9843" spans="1:4" x14ac:dyDescent="0.25">
      <c r="A9843" t="str">
        <f>T("   902780")</f>
        <v xml:space="preserve">   902780</v>
      </c>
      <c r="B9843" t="str">
        <f>T("   Instruments et appareils pour analyses physiques ou chimiques, ou pour essais de viscosité, de porosité, de dilatation, de tension superficielle ou simil. ou pour mesures calorimétriques ou acoustiques ou photométriques, n.d.a.")</f>
        <v xml:space="preserve">   Instruments et appareils pour analyses physiques ou chimiques, ou pour essais de viscosité, de porosité, de dilatation, de tension superficielle ou simil. ou pour mesures calorimétriques ou acoustiques ou photométriques, n.d.a.</v>
      </c>
      <c r="C9843">
        <v>149235</v>
      </c>
      <c r="D9843">
        <v>13</v>
      </c>
    </row>
    <row r="9844" spans="1:4" x14ac:dyDescent="0.25">
      <c r="A9844" t="str">
        <f>T("   903039")</f>
        <v xml:space="preserve">   903039</v>
      </c>
      <c r="B9844" t="str">
        <f>T("   Instruments et appareils pour la mesure ou le contrôle de la tension, de l'intensité, de la résistance ou de la puissance, sans dispositif enregistreur (à l'excl. des multimètres ainsi que des oscilloscopes et oscillographes cathodiques)")</f>
        <v xml:space="preserve">   Instruments et appareils pour la mesure ou le contrôle de la tension, de l'intensité, de la résistance ou de la puissance, sans dispositif enregistreur (à l'excl. des multimètres ainsi que des oscilloscopes et oscillographes cathodiques)</v>
      </c>
      <c r="C9844">
        <v>193075</v>
      </c>
      <c r="D9844">
        <v>37</v>
      </c>
    </row>
    <row r="9845" spans="1:4" x14ac:dyDescent="0.25">
      <c r="A9845" t="str">
        <f>T("   940320")</f>
        <v xml:space="preserve">   940320</v>
      </c>
      <c r="B9845"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9845">
        <v>63161</v>
      </c>
      <c r="D9845">
        <v>6</v>
      </c>
    </row>
    <row r="9846" spans="1:4" x14ac:dyDescent="0.25">
      <c r="A9846" t="str">
        <f>T("   940350")</f>
        <v xml:space="preserve">   940350</v>
      </c>
      <c r="B9846" t="str">
        <f>T("   Meubles pour chambres à coucher, en bois (sauf sièges)")</f>
        <v xml:space="preserve">   Meubles pour chambres à coucher, en bois (sauf sièges)</v>
      </c>
      <c r="C9846">
        <v>900000</v>
      </c>
      <c r="D9846">
        <v>900</v>
      </c>
    </row>
    <row r="9847" spans="1:4" x14ac:dyDescent="0.25">
      <c r="A9847" t="str">
        <f>T("   940360")</f>
        <v xml:space="preserve">   940360</v>
      </c>
      <c r="B9847" t="str">
        <f>T("   Meubles en bois (autres que pour bureaux, cuisines ou chambres à coucher et autres que sièges)")</f>
        <v xml:space="preserve">   Meubles en bois (autres que pour bureaux, cuisines ou chambres à coucher et autres que sièges)</v>
      </c>
      <c r="C9847">
        <v>3590364</v>
      </c>
      <c r="D9847">
        <v>1200</v>
      </c>
    </row>
    <row r="9848" spans="1:4" x14ac:dyDescent="0.25">
      <c r="A9848" t="str">
        <f>T("   940380")</f>
        <v xml:space="preserve">   940380</v>
      </c>
      <c r="B9848" t="str">
        <f>T("   Meubles en rotin, osier, bambou ou autres matières (sauf métal, bois et matières plastiques)")</f>
        <v xml:space="preserve">   Meubles en rotin, osier, bambou ou autres matières (sauf métal, bois et matières plastiques)</v>
      </c>
      <c r="C9848">
        <v>29914519</v>
      </c>
      <c r="D9848">
        <v>15750</v>
      </c>
    </row>
    <row r="9849" spans="1:4" x14ac:dyDescent="0.25">
      <c r="A9849" t="str">
        <f>T("   940540")</f>
        <v xml:space="preserve">   940540</v>
      </c>
      <c r="B9849" t="str">
        <f>T("   Appareils d'éclairage électrique, n.d.a.")</f>
        <v xml:space="preserve">   Appareils d'éclairage électrique, n.d.a.</v>
      </c>
      <c r="C9849">
        <v>550000</v>
      </c>
      <c r="D9849">
        <v>56</v>
      </c>
    </row>
    <row r="9850" spans="1:4" x14ac:dyDescent="0.25">
      <c r="A9850" t="str">
        <f>T("   960321")</f>
        <v xml:space="preserve">   960321</v>
      </c>
      <c r="B9850" t="str">
        <f>T("   Brosses à dent, y.c. brosses à prothèses dentaires")</f>
        <v xml:space="preserve">   Brosses à dent, y.c. brosses à prothèses dentaires</v>
      </c>
      <c r="C9850">
        <v>23008865</v>
      </c>
      <c r="D9850">
        <v>14017</v>
      </c>
    </row>
    <row r="9851" spans="1:4" x14ac:dyDescent="0.25">
      <c r="A9851" t="str">
        <f>T("   960810")</f>
        <v xml:space="preserve">   960810</v>
      </c>
      <c r="B9851" t="str">
        <f>T("   Stylos et crayons à bille")</f>
        <v xml:space="preserve">   Stylos et crayons à bille</v>
      </c>
      <c r="C9851">
        <v>163635</v>
      </c>
      <c r="D9851">
        <v>24</v>
      </c>
    </row>
    <row r="9852" spans="1:4" x14ac:dyDescent="0.25">
      <c r="A9852" t="str">
        <f>T("SY")</f>
        <v>SY</v>
      </c>
      <c r="B9852" t="str">
        <f>T("Syrienne, République arabe")</f>
        <v>Syrienne, République arabe</v>
      </c>
    </row>
    <row r="9853" spans="1:4" x14ac:dyDescent="0.25">
      <c r="A9853" t="str">
        <f>T("   ZZ_Total_Produit_SH6")</f>
        <v xml:space="preserve">   ZZ_Total_Produit_SH6</v>
      </c>
      <c r="B9853" t="str">
        <f>T("   ZZ_Total_Produit_SH6")</f>
        <v xml:space="preserve">   ZZ_Total_Produit_SH6</v>
      </c>
      <c r="C9853">
        <v>147135741</v>
      </c>
      <c r="D9853">
        <v>163400.4</v>
      </c>
    </row>
    <row r="9854" spans="1:4" x14ac:dyDescent="0.25">
      <c r="A9854" t="str">
        <f>T("   150990")</f>
        <v xml:space="preserve">   150990</v>
      </c>
      <c r="B9854" t="str">
        <f>T("   Huile d'olive et ses fractions, traitées mais non chimiquement modifiées, obtenues, à partir des fruits de l'olivier, uniquement par des procédés mécaniques ou physiques, dans des conditions n'altérant pas l'huile")</f>
        <v xml:space="preserve">   Huile d'olive et ses fractions, traitées mais non chimiquement modifiées, obtenues, à partir des fruits de l'olivier, uniquement par des procédés mécaniques ou physiques, dans des conditions n'altérant pas l'huile</v>
      </c>
      <c r="C9854">
        <v>16399</v>
      </c>
      <c r="D9854">
        <v>40</v>
      </c>
    </row>
    <row r="9855" spans="1:4" x14ac:dyDescent="0.25">
      <c r="A9855" t="str">
        <f>T("   271019")</f>
        <v xml:space="preserve">   271019</v>
      </c>
      <c r="B9855" t="str">
        <f>T("   Huiles moyennes et préparations, de pétrole ou de minéraux bitumineux, n.d.a.")</f>
        <v xml:space="preserve">   Huiles moyennes et préparations, de pétrole ou de minéraux bitumineux, n.d.a.</v>
      </c>
      <c r="C9855">
        <v>33600180</v>
      </c>
      <c r="D9855">
        <v>88800</v>
      </c>
    </row>
    <row r="9856" spans="1:4" x14ac:dyDescent="0.25">
      <c r="A9856" t="str">
        <f>T("   300490")</f>
        <v xml:space="preserve">   300490</v>
      </c>
      <c r="B9856" t="s">
        <v>80</v>
      </c>
      <c r="C9856">
        <v>42086547</v>
      </c>
      <c r="D9856">
        <v>3523</v>
      </c>
    </row>
    <row r="9857" spans="1:4" x14ac:dyDescent="0.25">
      <c r="A9857" t="str">
        <f>T("   392092")</f>
        <v xml:space="preserve">   392092</v>
      </c>
      <c r="B9857" t="s">
        <v>144</v>
      </c>
      <c r="C9857">
        <v>2876</v>
      </c>
      <c r="D9857">
        <v>50</v>
      </c>
    </row>
    <row r="9858" spans="1:4" x14ac:dyDescent="0.25">
      <c r="A9858" t="str">
        <f>T("   392329")</f>
        <v xml:space="preserve">   392329</v>
      </c>
      <c r="B9858" t="str">
        <f>T("   Sacs, sachets, pochettes et cornets, en matières plastiques (autres que les polymères de l'éthylène)")</f>
        <v xml:space="preserve">   Sacs, sachets, pochettes et cornets, en matières plastiques (autres que les polymères de l'éthylène)</v>
      </c>
      <c r="C9858">
        <v>488690</v>
      </c>
      <c r="D9858">
        <v>1200</v>
      </c>
    </row>
    <row r="9859" spans="1:4" x14ac:dyDescent="0.25">
      <c r="A9859" t="str">
        <f>T("   392690")</f>
        <v xml:space="preserve">   392690</v>
      </c>
      <c r="B9859" t="str">
        <f>T("   Ouvrages en matières plastiques et ouvrages en autres matières du n° 3901 à 3914, n.d.a.")</f>
        <v xml:space="preserve">   Ouvrages en matières plastiques et ouvrages en autres matières du n° 3901 à 3914, n.d.a.</v>
      </c>
      <c r="C9859">
        <v>289279</v>
      </c>
      <c r="D9859">
        <v>560</v>
      </c>
    </row>
    <row r="9860" spans="1:4" x14ac:dyDescent="0.25">
      <c r="A9860" t="str">
        <f>T("   401693")</f>
        <v xml:space="preserve">   401693</v>
      </c>
      <c r="B9860" t="str">
        <f>T("   Joints en caoutchouc vulcanisé non durci (à l'excl. des articles en caoutchouc alvéolaire)")</f>
        <v xml:space="preserve">   Joints en caoutchouc vulcanisé non durci (à l'excl. des articles en caoutchouc alvéolaire)</v>
      </c>
      <c r="C9860">
        <v>650161</v>
      </c>
      <c r="D9860">
        <v>20.5</v>
      </c>
    </row>
    <row r="9861" spans="1:4" x14ac:dyDescent="0.25">
      <c r="A9861" t="str">
        <f>T("   441191")</f>
        <v xml:space="preserve">   441191</v>
      </c>
      <c r="B9861" t="s">
        <v>180</v>
      </c>
      <c r="C9861">
        <v>47885</v>
      </c>
      <c r="D9861">
        <v>135</v>
      </c>
    </row>
    <row r="9862" spans="1:4" x14ac:dyDescent="0.25">
      <c r="A9862" t="str">
        <f>T("   551219")</f>
        <v xml:space="preserve">   551219</v>
      </c>
      <c r="B9862" t="str">
        <f>T("   Tissus, teints, imprimés ou en fils de diverses couleurs, de fibres discontinues de polyester, contenant &gt;= 85% en poids de ces fibres")</f>
        <v xml:space="preserve">   Tissus, teints, imprimés ou en fils de diverses couleurs, de fibres discontinues de polyester, contenant &gt;= 85% en poids de ces fibres</v>
      </c>
      <c r="C9862">
        <v>14558291</v>
      </c>
      <c r="D9862">
        <v>16610</v>
      </c>
    </row>
    <row r="9863" spans="1:4" x14ac:dyDescent="0.25">
      <c r="A9863" t="str">
        <f>T("   551313")</f>
        <v xml:space="preserve">   551313</v>
      </c>
      <c r="B9863" t="s">
        <v>232</v>
      </c>
      <c r="C9863">
        <v>11472740</v>
      </c>
      <c r="D9863">
        <v>29149</v>
      </c>
    </row>
    <row r="9864" spans="1:4" x14ac:dyDescent="0.25">
      <c r="A9864" t="str">
        <f>T("   570320")</f>
        <v xml:space="preserve">   570320</v>
      </c>
      <c r="B9864" t="str">
        <f>T("   Tapis et autres revêtements de sol, de nylon ou d'autres polyamides, touffetés, même confectionnés")</f>
        <v xml:space="preserve">   Tapis et autres revêtements de sol, de nylon ou d'autres polyamides, touffetés, même confectionnés</v>
      </c>
      <c r="C9864">
        <v>552211</v>
      </c>
      <c r="D9864">
        <v>1037</v>
      </c>
    </row>
    <row r="9865" spans="1:4" x14ac:dyDescent="0.25">
      <c r="A9865" t="str">
        <f>T("   570330")</f>
        <v xml:space="preserve">   570330</v>
      </c>
      <c r="B9865" t="str">
        <f>T("   Tapis et autres revêtements de sol, de matières textiles synthétiques ou artificielles, touffetés, même confectionnés (à l'excl. des articles en nylon ou en autres polyamides)")</f>
        <v xml:space="preserve">   Tapis et autres revêtements de sol, de matières textiles synthétiques ou artificielles, touffetés, même confectionnés (à l'excl. des articles en nylon ou en autres polyamides)</v>
      </c>
      <c r="C9865">
        <v>2328003</v>
      </c>
      <c r="D9865">
        <v>3928</v>
      </c>
    </row>
    <row r="9866" spans="1:4" x14ac:dyDescent="0.25">
      <c r="A9866" t="str">
        <f>T("   580890")</f>
        <v xml:space="preserve">   580890</v>
      </c>
      <c r="B9866" t="s">
        <v>255</v>
      </c>
      <c r="C9866">
        <v>46573</v>
      </c>
      <c r="D9866">
        <v>125</v>
      </c>
    </row>
    <row r="9867" spans="1:4" x14ac:dyDescent="0.25">
      <c r="A9867" t="str">
        <f>T("   620590")</f>
        <v xml:space="preserve">   620590</v>
      </c>
      <c r="B9867"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9867">
        <v>500000</v>
      </c>
      <c r="D9867">
        <v>80</v>
      </c>
    </row>
    <row r="9868" spans="1:4" x14ac:dyDescent="0.25">
      <c r="A9868" t="str">
        <f>T("   630229")</f>
        <v xml:space="preserve">   630229</v>
      </c>
      <c r="B9868" t="str">
        <f>T("   Linge de lit, de matières textiles, imprimé (autre que de coton, fibres synthétiques ou artificielles, autres qu'en bonneterie)")</f>
        <v xml:space="preserve">   Linge de lit, de matières textiles, imprimé (autre que de coton, fibres synthétiques ou artificielles, autres qu'en bonneterie)</v>
      </c>
      <c r="C9868">
        <v>322076</v>
      </c>
      <c r="D9868">
        <v>650</v>
      </c>
    </row>
    <row r="9869" spans="1:4" x14ac:dyDescent="0.25">
      <c r="A9869" t="str">
        <f>T("   630319")</f>
        <v xml:space="preserve">   630319</v>
      </c>
      <c r="B9869" t="str">
        <f>T("   Vitrages, rideaux et stores d'intérieur ainsi que cantonnières et tours de lit, en bonneterie (autres que de coton et fibres synthétiques et autres que stores d'extérieur)")</f>
        <v xml:space="preserve">   Vitrages, rideaux et stores d'intérieur ainsi que cantonnières et tours de lit, en bonneterie (autres que de coton et fibres synthétiques et autres que stores d'extérieur)</v>
      </c>
      <c r="C9869">
        <v>590364</v>
      </c>
      <c r="D9869">
        <v>1400</v>
      </c>
    </row>
    <row r="9870" spans="1:4" x14ac:dyDescent="0.25">
      <c r="A9870" t="str">
        <f>T("   630392")</f>
        <v xml:space="preserve">   630392</v>
      </c>
      <c r="B9870" t="str">
        <f>T("   Vitrages, rideaux et stores d'intérieur ainsi que cantonnières et tours de lit, de fibres synthétiques (autres qu'en bonneterie et autres que stores d'extérieur)")</f>
        <v xml:space="preserve">   Vitrages, rideaux et stores d'intérieur ainsi que cantonnières et tours de lit, de fibres synthétiques (autres qu'en bonneterie et autres que stores d'extérieur)</v>
      </c>
      <c r="C9870">
        <v>10040077</v>
      </c>
      <c r="D9870">
        <v>13724</v>
      </c>
    </row>
    <row r="9871" spans="1:4" x14ac:dyDescent="0.25">
      <c r="A9871" t="str">
        <f>T("   630493")</f>
        <v xml:space="preserve">   630493</v>
      </c>
      <c r="B9871" t="s">
        <v>276</v>
      </c>
      <c r="C9871">
        <v>268911</v>
      </c>
      <c r="D9871">
        <v>25</v>
      </c>
    </row>
    <row r="9872" spans="1:4" x14ac:dyDescent="0.25">
      <c r="A9872" t="str">
        <f>T("   700721")</f>
        <v xml:space="preserve">   700721</v>
      </c>
      <c r="B9872" t="s">
        <v>321</v>
      </c>
      <c r="C9872">
        <v>93490</v>
      </c>
      <c r="D9872">
        <v>10</v>
      </c>
    </row>
    <row r="9873" spans="1:4" x14ac:dyDescent="0.25">
      <c r="A9873" t="str">
        <f>T("   731824")</f>
        <v xml:space="preserve">   731824</v>
      </c>
      <c r="B9873" t="str">
        <f>T("   Goupilles, chevilles et clavettes en fonte, fer ou acier")</f>
        <v xml:space="preserve">   Goupilles, chevilles et clavettes en fonte, fer ou acier</v>
      </c>
      <c r="C9873">
        <v>239721</v>
      </c>
      <c r="D9873">
        <v>2</v>
      </c>
    </row>
    <row r="9874" spans="1:4" x14ac:dyDescent="0.25">
      <c r="A9874" t="str">
        <f>T("   732394")</f>
        <v xml:space="preserve">   732394</v>
      </c>
      <c r="B9874" t="s">
        <v>367</v>
      </c>
      <c r="C9874">
        <v>300000</v>
      </c>
      <c r="D9874">
        <v>150</v>
      </c>
    </row>
    <row r="9875" spans="1:4" x14ac:dyDescent="0.25">
      <c r="A9875" t="str">
        <f>T("   732690")</f>
        <v xml:space="preserve">   732690</v>
      </c>
      <c r="B9875"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9875">
        <v>499802</v>
      </c>
      <c r="D9875">
        <v>30</v>
      </c>
    </row>
    <row r="9876" spans="1:4" x14ac:dyDescent="0.25">
      <c r="A9876" t="str">
        <f>T("   830241")</f>
        <v xml:space="preserve">   830241</v>
      </c>
      <c r="B9876" t="str">
        <f>T("   Garnitures, ferrures et simil., pour bâtiments, en métaux communs (sauf serrures et verrous de sûreté à clef et sauf charnières)")</f>
        <v xml:space="preserve">   Garnitures, ferrures et simil., pour bâtiments, en métaux communs (sauf serrures et verrous de sûreté à clef et sauf charnières)</v>
      </c>
      <c r="C9876">
        <v>202388</v>
      </c>
      <c r="D9876">
        <v>382</v>
      </c>
    </row>
    <row r="9877" spans="1:4" x14ac:dyDescent="0.25">
      <c r="A9877" t="str">
        <f>T("   841440")</f>
        <v xml:space="preserve">   841440</v>
      </c>
      <c r="B9877" t="str">
        <f>T("   Compresseurs d'air montés sur châssis à roues et remorquables")</f>
        <v xml:space="preserve">   Compresseurs d'air montés sur châssis à roues et remorquables</v>
      </c>
      <c r="C9877">
        <v>1468811</v>
      </c>
      <c r="D9877">
        <v>55</v>
      </c>
    </row>
    <row r="9878" spans="1:4" x14ac:dyDescent="0.25">
      <c r="A9878" t="str">
        <f>T("   842951")</f>
        <v xml:space="preserve">   842951</v>
      </c>
      <c r="B9878" t="str">
        <f>T("   Chargeuses et chargeuses-pelleteuses, à chargement frontal, autopropulsées")</f>
        <v xml:space="preserve">   Chargeuses et chargeuses-pelleteuses, à chargement frontal, autopropulsées</v>
      </c>
      <c r="C9878">
        <v>1930953</v>
      </c>
      <c r="D9878">
        <v>27</v>
      </c>
    </row>
    <row r="9879" spans="1:4" x14ac:dyDescent="0.25">
      <c r="A9879" t="str">
        <f>T("   843139")</f>
        <v xml:space="preserve">   843139</v>
      </c>
      <c r="B9879" t="str">
        <f>T("   Parties de machines et appareils du n° 8428, n.d.a.")</f>
        <v xml:space="preserve">   Parties de machines et appareils du n° 8428, n.d.a.</v>
      </c>
      <c r="C9879">
        <v>438050</v>
      </c>
      <c r="D9879">
        <v>12</v>
      </c>
    </row>
    <row r="9880" spans="1:4" x14ac:dyDescent="0.25">
      <c r="A9880" t="str">
        <f>T("   843149")</f>
        <v xml:space="preserve">   843149</v>
      </c>
      <c r="B9880" t="str">
        <f>T("   Parties de machines et appareils du n° 8426, 8429 ou 8430, n.d.a.")</f>
        <v xml:space="preserve">   Parties de machines et appareils du n° 8426, 8429 ou 8430, n.d.a.</v>
      </c>
      <c r="C9880">
        <v>9435634</v>
      </c>
      <c r="D9880">
        <v>213</v>
      </c>
    </row>
    <row r="9881" spans="1:4" x14ac:dyDescent="0.25">
      <c r="A9881" t="str">
        <f>T("   847190")</f>
        <v xml:space="preserve">   847190</v>
      </c>
      <c r="B9881"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9881">
        <v>8495758</v>
      </c>
      <c r="D9881">
        <v>50</v>
      </c>
    </row>
    <row r="9882" spans="1:4" x14ac:dyDescent="0.25">
      <c r="A9882" t="str">
        <f>T("   848140")</f>
        <v xml:space="preserve">   848140</v>
      </c>
      <c r="B9882" t="str">
        <f>T("   Soupapes de trop-plein ou de sûreté")</f>
        <v xml:space="preserve">   Soupapes de trop-plein ou de sûreté</v>
      </c>
      <c r="C9882">
        <v>201517</v>
      </c>
      <c r="D9882">
        <v>0.5</v>
      </c>
    </row>
    <row r="9883" spans="1:4" x14ac:dyDescent="0.25">
      <c r="A9883" t="str">
        <f>T("   850120")</f>
        <v xml:space="preserve">   850120</v>
      </c>
      <c r="B9883" t="str">
        <f>T("   Moteurs universels, puissance &gt; 37,5 W")</f>
        <v xml:space="preserve">   Moteurs universels, puissance &gt; 37,5 W</v>
      </c>
      <c r="C9883">
        <v>2663704</v>
      </c>
      <c r="D9883">
        <v>25</v>
      </c>
    </row>
    <row r="9884" spans="1:4" x14ac:dyDescent="0.25">
      <c r="A9884" t="str">
        <f>T("   852313")</f>
        <v xml:space="preserve">   852313</v>
      </c>
      <c r="B9884" t="str">
        <f>T("   Bandes magnétiques non enregistrées, largeur &gt; 6,5 mm")</f>
        <v xml:space="preserve">   Bandes magnétiques non enregistrées, largeur &gt; 6,5 mm</v>
      </c>
      <c r="C9884">
        <v>670665</v>
      </c>
      <c r="D9884">
        <v>0.4</v>
      </c>
    </row>
    <row r="9885" spans="1:4" x14ac:dyDescent="0.25">
      <c r="A9885" t="str">
        <f>T("   854389")</f>
        <v xml:space="preserve">   854389</v>
      </c>
      <c r="B9885" t="str">
        <f>T("   MACHINES ET APPAREILS ÉLECTRIQUES AYANT UNE FONCTION PROPRE, N.D.A. DANS LE CHAPITRE 85")</f>
        <v xml:space="preserve">   MACHINES ET APPAREILS ÉLECTRIQUES AYANT UNE FONCTION PROPRE, N.D.A. DANS LE CHAPITRE 85</v>
      </c>
      <c r="C9885">
        <v>846405</v>
      </c>
      <c r="D9885">
        <v>2</v>
      </c>
    </row>
    <row r="9886" spans="1:4" x14ac:dyDescent="0.25">
      <c r="A9886" t="str">
        <f>T("   903289")</f>
        <v xml:space="preserve">   903289</v>
      </c>
      <c r="B9886" t="s">
        <v>508</v>
      </c>
      <c r="C9886">
        <v>305677</v>
      </c>
      <c r="D9886">
        <v>75</v>
      </c>
    </row>
    <row r="9887" spans="1:4" x14ac:dyDescent="0.25">
      <c r="A9887" t="str">
        <f>T("   940350")</f>
        <v xml:space="preserve">   940350</v>
      </c>
      <c r="B9887" t="str">
        <f>T("   Meubles pour chambres à coucher, en bois (sauf sièges)")</f>
        <v xml:space="preserve">   Meubles pour chambres à coucher, en bois (sauf sièges)</v>
      </c>
      <c r="C9887">
        <v>1349400</v>
      </c>
      <c r="D9887">
        <v>950</v>
      </c>
    </row>
    <row r="9888" spans="1:4" x14ac:dyDescent="0.25">
      <c r="A9888" t="str">
        <f>T("   940490")</f>
        <v xml:space="preserve">   940490</v>
      </c>
      <c r="B9888" t="s">
        <v>514</v>
      </c>
      <c r="C9888">
        <v>81339</v>
      </c>
      <c r="D9888">
        <v>250</v>
      </c>
    </row>
    <row r="9889" spans="1:4" x14ac:dyDescent="0.25">
      <c r="A9889" t="str">
        <f>T("   940520")</f>
        <v xml:space="preserve">   940520</v>
      </c>
      <c r="B9889" t="str">
        <f>T("   Lampes de chevet, lampes de bureau et lampadaires d'intérieur, électriques")</f>
        <v xml:space="preserve">   Lampes de chevet, lampes de bureau et lampadaires d'intérieur, électriques</v>
      </c>
      <c r="C9889">
        <v>38701</v>
      </c>
      <c r="D9889">
        <v>75</v>
      </c>
    </row>
    <row r="9890" spans="1:4" x14ac:dyDescent="0.25">
      <c r="A9890" t="str">
        <f>T("   961420")</f>
        <v xml:space="preserve">   961420</v>
      </c>
      <c r="B9890" t="str">
        <f>T("   Pipes et têtes de pipes")</f>
        <v xml:space="preserve">   Pipes et têtes de pipes</v>
      </c>
      <c r="C9890">
        <v>12463</v>
      </c>
      <c r="D9890">
        <v>35</v>
      </c>
    </row>
    <row r="9891" spans="1:4" x14ac:dyDescent="0.25">
      <c r="A9891" t="str">
        <f>T("SZ")</f>
        <v>SZ</v>
      </c>
      <c r="B9891" t="str">
        <f>T("Swaziland")</f>
        <v>Swaziland</v>
      </c>
    </row>
    <row r="9892" spans="1:4" x14ac:dyDescent="0.25">
      <c r="A9892" t="str">
        <f>T("   ZZ_Total_Produit_SH6")</f>
        <v xml:space="preserve">   ZZ_Total_Produit_SH6</v>
      </c>
      <c r="B9892" t="str">
        <f>T("   ZZ_Total_Produit_SH6")</f>
        <v xml:space="preserve">   ZZ_Total_Produit_SH6</v>
      </c>
      <c r="C9892">
        <v>189388164</v>
      </c>
      <c r="D9892">
        <v>231528.4</v>
      </c>
    </row>
    <row r="9893" spans="1:4" x14ac:dyDescent="0.25">
      <c r="A9893" t="str">
        <f>T("   020727")</f>
        <v xml:space="preserve">   020727</v>
      </c>
      <c r="B9893" t="str">
        <f>T("   Morceaux et abats comestibles de dindes et dindons [des espèces domestiques], congelés")</f>
        <v xml:space="preserve">   Morceaux et abats comestibles de dindes et dindons [des espèces domestiques], congelés</v>
      </c>
      <c r="C9893">
        <v>14400290</v>
      </c>
      <c r="D9893">
        <v>24000</v>
      </c>
    </row>
    <row r="9894" spans="1:4" x14ac:dyDescent="0.25">
      <c r="A9894" t="str">
        <f>T("   040221")</f>
        <v xml:space="preserve">   040221</v>
      </c>
      <c r="B9894" t="str">
        <f>T("   Lait et crème de lait, en poudre, en granulés ou sous d'autres formes solides, d'une teneur en poids de matières grasses &gt; 1,5%, sans addition de sucre ou d'autres édulcorants")</f>
        <v xml:space="preserve">   Lait et crème de lait, en poudre, en granulés ou sous d'autres formes solides, d'une teneur en poids de matières grasses &gt; 1,5%, sans addition de sucre ou d'autres édulcorants</v>
      </c>
      <c r="C9894">
        <v>28206280</v>
      </c>
      <c r="D9894">
        <v>25340</v>
      </c>
    </row>
    <row r="9895" spans="1:4" x14ac:dyDescent="0.25">
      <c r="A9895" t="str">
        <f>T("   271500")</f>
        <v xml:space="preserve">   271500</v>
      </c>
      <c r="B9895" t="str">
        <f>T("   Mastics bitumineux, 'cut-backs' et autres mélanges bitumineux à base d'asphalte ou de bitume naturels, de bitume de pétrole, de goudron minéral ou de brai de goudron minéral")</f>
        <v xml:space="preserve">   Mastics bitumineux, 'cut-backs' et autres mélanges bitumineux à base d'asphalte ou de bitume naturels, de bitume de pétrole, de goudron minéral ou de brai de goudron minéral</v>
      </c>
      <c r="C9895">
        <v>54260709</v>
      </c>
      <c r="D9895">
        <v>180760</v>
      </c>
    </row>
    <row r="9896" spans="1:4" x14ac:dyDescent="0.25">
      <c r="A9896" t="str">
        <f>T("   300220")</f>
        <v xml:space="preserve">   300220</v>
      </c>
      <c r="B9896" t="str">
        <f>T("   Vaccins pour la médecine humaine")</f>
        <v xml:space="preserve">   Vaccins pour la médecine humaine</v>
      </c>
      <c r="C9896">
        <v>63515216</v>
      </c>
      <c r="D9896">
        <v>597</v>
      </c>
    </row>
    <row r="9897" spans="1:4" x14ac:dyDescent="0.25">
      <c r="A9897" t="str">
        <f>T("   300490")</f>
        <v xml:space="preserve">   300490</v>
      </c>
      <c r="B9897" t="s">
        <v>80</v>
      </c>
      <c r="C9897">
        <v>5674054</v>
      </c>
      <c r="D9897">
        <v>22</v>
      </c>
    </row>
    <row r="9898" spans="1:4" x14ac:dyDescent="0.25">
      <c r="A9898" t="str">
        <f>T("   731822")</f>
        <v xml:space="preserve">   731822</v>
      </c>
      <c r="B9898" t="str">
        <f>T("   Rondelles en fonte, fer ou acier (sauf rondelles destinées à faire ressort et autres rondelles de blocage)")</f>
        <v xml:space="preserve">   Rondelles en fonte, fer ou acier (sauf rondelles destinées à faire ressort et autres rondelles de blocage)</v>
      </c>
      <c r="C9898">
        <v>63556</v>
      </c>
      <c r="D9898">
        <v>2</v>
      </c>
    </row>
    <row r="9899" spans="1:4" x14ac:dyDescent="0.25">
      <c r="A9899" t="str">
        <f>T("   841440")</f>
        <v xml:space="preserve">   841440</v>
      </c>
      <c r="B9899" t="str">
        <f>T("   Compresseurs d'air montés sur châssis à roues et remorquables")</f>
        <v xml:space="preserve">   Compresseurs d'air montés sur châssis à roues et remorquables</v>
      </c>
      <c r="C9899">
        <v>205256</v>
      </c>
      <c r="D9899">
        <v>25</v>
      </c>
    </row>
    <row r="9900" spans="1:4" x14ac:dyDescent="0.25">
      <c r="A9900" t="str">
        <f>T("   842951")</f>
        <v xml:space="preserve">   842951</v>
      </c>
      <c r="B9900" t="str">
        <f>T("   Chargeuses et chargeuses-pelleteuses, à chargement frontal, autopropulsées")</f>
        <v xml:space="preserve">   Chargeuses et chargeuses-pelleteuses, à chargement frontal, autopropulsées</v>
      </c>
      <c r="C9900">
        <v>5340206</v>
      </c>
      <c r="D9900">
        <v>453</v>
      </c>
    </row>
    <row r="9901" spans="1:4" x14ac:dyDescent="0.25">
      <c r="A9901" t="str">
        <f>T("   843120")</f>
        <v xml:space="preserve">   843120</v>
      </c>
      <c r="B9901" t="str">
        <f>T("   Parties de chariots-gerbeurs et autres chariots de manutention munis d'un dispositif de levage, n.d.a.")</f>
        <v xml:space="preserve">   Parties de chariots-gerbeurs et autres chariots de manutention munis d'un dispositif de levage, n.d.a.</v>
      </c>
      <c r="C9901">
        <v>7109414</v>
      </c>
      <c r="D9901">
        <v>65</v>
      </c>
    </row>
    <row r="9902" spans="1:4" x14ac:dyDescent="0.25">
      <c r="A9902" t="str">
        <f>T("   843142")</f>
        <v xml:space="preserve">   843142</v>
      </c>
      <c r="B9902" t="str">
        <f>T("   Lames de bouteurs 'bulldozers' ou de bouteurs biais 'angledozers', n.d.a.")</f>
        <v xml:space="preserve">   Lames de bouteurs 'bulldozers' ou de bouteurs biais 'angledozers', n.d.a.</v>
      </c>
      <c r="C9902">
        <v>427266</v>
      </c>
      <c r="D9902">
        <v>0.5</v>
      </c>
    </row>
    <row r="9903" spans="1:4" x14ac:dyDescent="0.25">
      <c r="A9903" t="str">
        <f>T("   843149")</f>
        <v xml:space="preserve">   843149</v>
      </c>
      <c r="B9903" t="str">
        <f>T("   Parties de machines et appareils du n° 8426, 8429 ou 8430, n.d.a.")</f>
        <v xml:space="preserve">   Parties de machines et appareils du n° 8426, 8429 ou 8430, n.d.a.</v>
      </c>
      <c r="C9903">
        <v>9597657</v>
      </c>
      <c r="D9903">
        <v>262</v>
      </c>
    </row>
    <row r="9904" spans="1:4" x14ac:dyDescent="0.25">
      <c r="A9904" t="str">
        <f>T("   852390")</f>
        <v xml:space="preserve">   852390</v>
      </c>
      <c r="B9904" t="str">
        <f>T("   SUPPORTS PRÉPARÉS POUR L'ENREGISTREMENT DU SON OU POUR ENREGISTREMENTS ANALOGUES, NON-ENREGISTRÉS (AUTRES QUE BANDES ET DISQUES MAGNÉTIQUES, CARTES MUNIES D'UNE PISTE MAGNÉTIQUE ET PRODUITS DU CHAPITRE 37)")</f>
        <v xml:space="preserve">   SUPPORTS PRÉPARÉS POUR L'ENREGISTREMENT DU SON OU POUR ENREGISTREMENTS ANALOGUES, NON-ENREGISTRÉS (AUTRES QUE BANDES ET DISQUES MAGNÉTIQUES, CARTES MUNIES D'UNE PISTE MAGNÉTIQUE ET PRODUITS DU CHAPITRE 37)</v>
      </c>
      <c r="C9904">
        <v>588260</v>
      </c>
      <c r="D9904">
        <v>1.9</v>
      </c>
    </row>
    <row r="9905" spans="1:4" x14ac:dyDescent="0.25">
      <c r="A9905" t="str">
        <f>T("TC")</f>
        <v>TC</v>
      </c>
      <c r="B9905" t="str">
        <f>T("Turks et Caïques, îles")</f>
        <v>Turks et Caïques, îles</v>
      </c>
    </row>
    <row r="9906" spans="1:4" x14ac:dyDescent="0.25">
      <c r="A9906" t="str">
        <f>T("   ZZ_Total_Produit_SH6")</f>
        <v xml:space="preserve">   ZZ_Total_Produit_SH6</v>
      </c>
      <c r="B9906" t="str">
        <f>T("   ZZ_Total_Produit_SH6")</f>
        <v xml:space="preserve">   ZZ_Total_Produit_SH6</v>
      </c>
      <c r="C9906">
        <v>73166888</v>
      </c>
      <c r="D9906">
        <v>512711.5</v>
      </c>
    </row>
    <row r="9907" spans="1:4" x14ac:dyDescent="0.25">
      <c r="A9907" t="str">
        <f>T("   721420")</f>
        <v xml:space="preserve">   721420</v>
      </c>
      <c r="B9907" t="str">
        <f>T("   BARRES EN FER OU EN ACIERS NON ALLIÉS, COMPORTANT DES INDENTATIONS, BOURRELETS, CREUX OU RELIEFS OBTENUS AU COURS DU LAMINAGE OU AYANT SUBI UNE TORSION APRÈS LAMINAGE")</f>
        <v xml:space="preserve">   BARRES EN FER OU EN ACIERS NON ALLIÉS, COMPORTANT DES INDENTATIONS, BOURRELETS, CREUX OU RELIEFS OBTENUS AU COURS DU LAMINAGE OU AYANT SUBI UNE TORSION APRÈS LAMINAGE</v>
      </c>
      <c r="C9907">
        <v>72008463</v>
      </c>
      <c r="D9907">
        <v>512700</v>
      </c>
    </row>
    <row r="9908" spans="1:4" x14ac:dyDescent="0.25">
      <c r="A9908" t="str">
        <f>T("   732690")</f>
        <v xml:space="preserve">   732690</v>
      </c>
      <c r="B9908"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9908">
        <v>634313</v>
      </c>
      <c r="D9908">
        <v>6</v>
      </c>
    </row>
    <row r="9909" spans="1:4" x14ac:dyDescent="0.25">
      <c r="A9909" t="str">
        <f>T("   846610")</f>
        <v xml:space="preserve">   846610</v>
      </c>
      <c r="B9909" t="str">
        <f>T("   Porte-outils pour machines-outils, y.c. l'outillage à main de tous types, et filières à déclenchement automatique")</f>
        <v xml:space="preserve">   Porte-outils pour machines-outils, y.c. l'outillage à main de tous types, et filières à déclenchement automatique</v>
      </c>
      <c r="C9909">
        <v>320108</v>
      </c>
      <c r="D9909">
        <v>3</v>
      </c>
    </row>
    <row r="9910" spans="1:4" x14ac:dyDescent="0.25">
      <c r="A9910" t="str">
        <f>T("   848299")</f>
        <v xml:space="preserve">   848299</v>
      </c>
      <c r="B9910" t="str">
        <f>T("   Parties de roulements à billes, à galets, à rouleaux ou à aiguilles (à l'excl. de leur organe de roulement), n.d.a.")</f>
        <v xml:space="preserve">   Parties de roulements à billes, à galets, à rouleaux ou à aiguilles (à l'excl. de leur organe de roulement), n.d.a.</v>
      </c>
      <c r="C9910">
        <v>204004</v>
      </c>
      <c r="D9910">
        <v>2.5</v>
      </c>
    </row>
    <row r="9911" spans="1:4" x14ac:dyDescent="0.25">
      <c r="A9911" t="str">
        <f>T("TD")</f>
        <v>TD</v>
      </c>
      <c r="B9911" t="str">
        <f>T("Tchad")</f>
        <v>Tchad</v>
      </c>
    </row>
    <row r="9912" spans="1:4" x14ac:dyDescent="0.25">
      <c r="A9912" t="str">
        <f>T("   ZZ_Total_Produit_SH6")</f>
        <v xml:space="preserve">   ZZ_Total_Produit_SH6</v>
      </c>
      <c r="B9912" t="str">
        <f>T("   ZZ_Total_Produit_SH6")</f>
        <v xml:space="preserve">   ZZ_Total_Produit_SH6</v>
      </c>
      <c r="C9912">
        <v>1184736</v>
      </c>
      <c r="D9912">
        <v>37901</v>
      </c>
    </row>
    <row r="9913" spans="1:4" x14ac:dyDescent="0.25">
      <c r="A9913" t="str">
        <f>T("   630190")</f>
        <v xml:space="preserve">   630190</v>
      </c>
      <c r="B9913" t="s">
        <v>274</v>
      </c>
      <c r="C9913">
        <v>143640</v>
      </c>
      <c r="D9913">
        <v>20</v>
      </c>
    </row>
    <row r="9914" spans="1:4" x14ac:dyDescent="0.25">
      <c r="A9914" t="str">
        <f>T("   640510")</f>
        <v xml:space="preserve">   640510</v>
      </c>
      <c r="B9914" t="str">
        <f>T("   Chaussures à dessus en cuir naturel ou reconstitué (sauf à semelles extérieures en caoutchouc, matière plastique, cuir naturel ou reconstitué et à dessus en cuir naturel et sauf chaussures d'orthopédie et chaussures ayant le caractère de jouets)")</f>
        <v xml:space="preserve">   Chaussures à dessus en cuir naturel ou reconstitué (sauf à semelles extérieures en caoutchouc, matière plastique, cuir naturel ou reconstitué et à dessus en cuir naturel et sauf chaussures d'orthopédie et chaussures ayant le caractère de jouets)</v>
      </c>
      <c r="C9914">
        <v>164160</v>
      </c>
      <c r="D9914">
        <v>32</v>
      </c>
    </row>
    <row r="9915" spans="1:4" x14ac:dyDescent="0.25">
      <c r="A9915" t="str">
        <f>T("   842940")</f>
        <v xml:space="preserve">   842940</v>
      </c>
      <c r="B9915" t="str">
        <f>T("   Rouleaux compresseurs et autres compacteuses, autopropulsés")</f>
        <v xml:space="preserve">   Rouleaux compresseurs et autres compacteuses, autopropulsés</v>
      </c>
      <c r="C9915">
        <v>368836</v>
      </c>
      <c r="D9915">
        <v>37795</v>
      </c>
    </row>
    <row r="9916" spans="1:4" x14ac:dyDescent="0.25">
      <c r="A9916" t="str">
        <f>T("   852692")</f>
        <v xml:space="preserve">   852692</v>
      </c>
      <c r="B9916" t="str">
        <f>T("   Appareils de radiotélécommande")</f>
        <v xml:space="preserve">   Appareils de radiotélécommande</v>
      </c>
      <c r="C9916">
        <v>101620</v>
      </c>
      <c r="D9916">
        <v>8</v>
      </c>
    </row>
    <row r="9917" spans="1:4" x14ac:dyDescent="0.25">
      <c r="A9917" t="str">
        <f>T("   852812")</f>
        <v xml:space="preserve">   852812</v>
      </c>
      <c r="B9917"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9917">
        <v>406480</v>
      </c>
      <c r="D9917">
        <v>46</v>
      </c>
    </row>
    <row r="9918" spans="1:4" x14ac:dyDescent="0.25">
      <c r="A9918" t="str">
        <f>T("TG")</f>
        <v>TG</v>
      </c>
      <c r="B9918" t="str">
        <f>T("Togo")</f>
        <v>Togo</v>
      </c>
    </row>
    <row r="9919" spans="1:4" x14ac:dyDescent="0.25">
      <c r="A9919" t="str">
        <f>T("   ZZ_Total_Produit_SH6")</f>
        <v xml:space="preserve">   ZZ_Total_Produit_SH6</v>
      </c>
      <c r="B9919" t="str">
        <f>T("   ZZ_Total_Produit_SH6")</f>
        <v xml:space="preserve">   ZZ_Total_Produit_SH6</v>
      </c>
      <c r="C9919">
        <v>82621869271.610001</v>
      </c>
      <c r="D9919">
        <v>162868659.28</v>
      </c>
    </row>
    <row r="9920" spans="1:4" x14ac:dyDescent="0.25">
      <c r="A9920" t="str">
        <f>T("   010190")</f>
        <v xml:space="preserve">   010190</v>
      </c>
      <c r="B9920" t="str">
        <f>T("   Chevaux, ânes, mulets et bardots, vivants (à l'excl. des animaux reproducteurs de race pure)")</f>
        <v xml:space="preserve">   Chevaux, ânes, mulets et bardots, vivants (à l'excl. des animaux reproducteurs de race pure)</v>
      </c>
      <c r="C9920">
        <v>50000</v>
      </c>
      <c r="D9920">
        <v>20</v>
      </c>
    </row>
    <row r="9921" spans="1:4" x14ac:dyDescent="0.25">
      <c r="A9921" t="str">
        <f>T("   020712")</f>
        <v xml:space="preserve">   020712</v>
      </c>
      <c r="B9921" t="str">
        <f>T("   COQS ET POULES [DES ESPÈCES DOMESTIQUES], NON-DÉCOUPÉS EN MORCEAUX, CONGELÉS")</f>
        <v xml:space="preserve">   COQS ET POULES [DES ESPÈCES DOMESTIQUES], NON-DÉCOUPÉS EN MORCEAUX, CONGELÉS</v>
      </c>
      <c r="C9921">
        <v>3003641</v>
      </c>
      <c r="D9921">
        <v>5004</v>
      </c>
    </row>
    <row r="9922" spans="1:4" x14ac:dyDescent="0.25">
      <c r="A9922" t="str">
        <f>T("   020714")</f>
        <v xml:space="preserve">   020714</v>
      </c>
      <c r="B9922" t="str">
        <f>T("   Morceaux et abats comestibles de coqs et de poules [des espèces domestiques], congelés")</f>
        <v xml:space="preserve">   Morceaux et abats comestibles de coqs et de poules [des espèces domestiques], congelés</v>
      </c>
      <c r="C9922">
        <v>7556003</v>
      </c>
      <c r="D9922">
        <v>12900</v>
      </c>
    </row>
    <row r="9923" spans="1:4" x14ac:dyDescent="0.25">
      <c r="A9923" t="str">
        <f>T("   020727")</f>
        <v xml:space="preserve">   020727</v>
      </c>
      <c r="B9923" t="str">
        <f>T("   Morceaux et abats comestibles de dindes et dindons [des espèces domestiques], congelés")</f>
        <v xml:space="preserve">   Morceaux et abats comestibles de dindes et dindons [des espèces domestiques], congelés</v>
      </c>
      <c r="C9923">
        <v>58448003</v>
      </c>
      <c r="D9923">
        <v>104780</v>
      </c>
    </row>
    <row r="9924" spans="1:4" x14ac:dyDescent="0.25">
      <c r="A9924" t="str">
        <f>T("   030219")</f>
        <v xml:space="preserve">   030219</v>
      </c>
      <c r="B9924" t="str">
        <f>T("   Salmonidés, frais ou réfrigérés (à l'excl. des truites et des saumons du Pacifique, de l'Atlantique et du Danube)")</f>
        <v xml:space="preserve">   Salmonidés, frais ou réfrigérés (à l'excl. des truites et des saumons du Pacifique, de l'Atlantique et du Danube)</v>
      </c>
      <c r="C9924">
        <v>44280</v>
      </c>
      <c r="D9924">
        <v>450</v>
      </c>
    </row>
    <row r="9925" spans="1:4" x14ac:dyDescent="0.25">
      <c r="A9925" t="str">
        <f>T("   030379")</f>
        <v xml:space="preserve">   030379</v>
      </c>
      <c r="B9925" t="s">
        <v>17</v>
      </c>
      <c r="C9925">
        <v>2942637</v>
      </c>
      <c r="D9925">
        <v>16800</v>
      </c>
    </row>
    <row r="9926" spans="1:4" x14ac:dyDescent="0.25">
      <c r="A9926" t="str">
        <f>T("   030510")</f>
        <v xml:space="preserve">   030510</v>
      </c>
      <c r="B9926" t="str">
        <f>T("   FARINES, POUDRES ET AGGLOMÉRÉS SOUS FORME DE PELLETS DE POISSON, PROPRES À L'ALIMENTATION HUMAINE [01/01/1988-31/12/1991: FARINE DE POISSON PROPRE A L'ALIMENTATION HUMAINE]")</f>
        <v xml:space="preserve">   FARINES, POUDRES ET AGGLOMÉRÉS SOUS FORME DE PELLETS DE POISSON, PROPRES À L'ALIMENTATION HUMAINE [01/01/1988-31/12/1991: FARINE DE POISSON PROPRE A L'ALIMENTATION HUMAINE]</v>
      </c>
      <c r="C9926">
        <v>800000</v>
      </c>
      <c r="D9926">
        <v>14000</v>
      </c>
    </row>
    <row r="9927" spans="1:4" x14ac:dyDescent="0.25">
      <c r="A9927" t="str">
        <f>T("   030710")</f>
        <v xml:space="preserve">   030710</v>
      </c>
      <c r="B9927" t="str">
        <f>T("   Huîtres, vivantes, fraîches, réfrigérées, congelées, séchées, salées ou en saumure")</f>
        <v xml:space="preserve">   Huîtres, vivantes, fraîches, réfrigérées, congelées, séchées, salées ou en saumure</v>
      </c>
      <c r="C9927">
        <v>87384</v>
      </c>
      <c r="D9927">
        <v>3000</v>
      </c>
    </row>
    <row r="9928" spans="1:4" x14ac:dyDescent="0.25">
      <c r="A9928" t="str">
        <f>T("   040210")</f>
        <v xml:space="preserve">   040210</v>
      </c>
      <c r="B9928" t="str">
        <f>T("   Lait et crème de lait, en poudre, en granulés ou sous d'autres formes solides, d'une teneur en poids de matières grasses &lt;= 1,5%")</f>
        <v xml:space="preserve">   Lait et crème de lait, en poudre, en granulés ou sous d'autres formes solides, d'une teneur en poids de matières grasses &lt;= 1,5%</v>
      </c>
      <c r="C9928">
        <v>211482328</v>
      </c>
      <c r="D9928">
        <v>124970</v>
      </c>
    </row>
    <row r="9929" spans="1:4" x14ac:dyDescent="0.25">
      <c r="A9929" t="str">
        <f>T("   040221")</f>
        <v xml:space="preserve">   040221</v>
      </c>
      <c r="B9929" t="str">
        <f>T("   Lait et crème de lait, en poudre, en granulés ou sous d'autres formes solides, d'une teneur en poids de matières grasses &gt; 1,5%, sans addition de sucre ou d'autres édulcorants")</f>
        <v xml:space="preserve">   Lait et crème de lait, en poudre, en granulés ou sous d'autres formes solides, d'une teneur en poids de matières grasses &gt; 1,5%, sans addition de sucre ou d'autres édulcorants</v>
      </c>
      <c r="C9929">
        <v>98223420</v>
      </c>
      <c r="D9929">
        <v>63329</v>
      </c>
    </row>
    <row r="9930" spans="1:4" x14ac:dyDescent="0.25">
      <c r="A9930" t="str">
        <f>T("   040291")</f>
        <v xml:space="preserve">   040291</v>
      </c>
      <c r="B9930" t="str">
        <f>T("   Lait et crème de lait, concentrés, sans addition de sucre ou d'autres édulcorants (à l'excl. des laits et crèmes de lait en poudre, en granulés ou sous d'autres formes solides)")</f>
        <v xml:space="preserve">   Lait et crème de lait, concentrés, sans addition de sucre ou d'autres édulcorants (à l'excl. des laits et crèmes de lait en poudre, en granulés ou sous d'autres formes solides)</v>
      </c>
      <c r="C9930">
        <v>210757</v>
      </c>
      <c r="D9930">
        <v>300</v>
      </c>
    </row>
    <row r="9931" spans="1:4" x14ac:dyDescent="0.25">
      <c r="A9931" t="str">
        <f>T("   040299")</f>
        <v xml:space="preserve">   040299</v>
      </c>
      <c r="B9931" t="str">
        <f>T("   Lait et crème de lait, concentrés, additionnés de sucre ou d'autres édulcorants (à l'excl. des laits et crèmes de lait en poudre, en granulés ou sous d'autres formes solides)")</f>
        <v xml:space="preserve">   Lait et crème de lait, concentrés, additionnés de sucre ou d'autres édulcorants (à l'excl. des laits et crèmes de lait en poudre, en granulés ou sous d'autres formes solides)</v>
      </c>
      <c r="C9931">
        <v>133280</v>
      </c>
      <c r="D9931">
        <v>90</v>
      </c>
    </row>
    <row r="9932" spans="1:4" x14ac:dyDescent="0.25">
      <c r="A9932" t="str">
        <f>T("   040310")</f>
        <v xml:space="preserve">   040310</v>
      </c>
      <c r="B9932" t="str">
        <f>T("   Yoghourts, même additionnés de sucre ou d'autres édulcorants ou aromatisés ou additionnés de fruits ou de cacao")</f>
        <v xml:space="preserve">   Yoghourts, même additionnés de sucre ou d'autres édulcorants ou aromatisés ou additionnés de fruits ou de cacao</v>
      </c>
      <c r="C9932">
        <v>493362240</v>
      </c>
      <c r="D9932">
        <v>932027</v>
      </c>
    </row>
    <row r="9933" spans="1:4" x14ac:dyDescent="0.25">
      <c r="A9933" t="str">
        <f>T("   040390")</f>
        <v xml:space="preserve">   040390</v>
      </c>
      <c r="B9933" t="str">
        <f>T("   Babeurre, lait et crème caillés, képhir et autres laits et crèmes fermentés ou acidifiés, même concentrés ou additionnés de sucre ou d'autres édulcorants ou aromatisés ou additionnés de fruits ou de cacao (à l'excl. des yoghourts)")</f>
        <v xml:space="preserve">   Babeurre, lait et crème caillés, képhir et autres laits et crèmes fermentés ou acidifiés, même concentrés ou additionnés de sucre ou d'autres édulcorants ou aromatisés ou additionnés de fruits ou de cacao (à l'excl. des yoghourts)</v>
      </c>
      <c r="C9933">
        <v>213108000</v>
      </c>
      <c r="D9933">
        <v>505427</v>
      </c>
    </row>
    <row r="9934" spans="1:4" x14ac:dyDescent="0.25">
      <c r="A9934" t="str">
        <f>T("   040410")</f>
        <v xml:space="preserve">   040410</v>
      </c>
      <c r="B9934" t="str">
        <f>T("   LACTOSÉRUM, MODIFIÉ OU NON, MÊME CONCENTRÉ OU ADDITIONNÉ DE SUCRE OU D'AUTRES ÉDULCORANTS [01/01/1988-31/12/1991: LACTOSERUM, MÊME CONCENTRÉ OU ADDITIONNÉ DE SUCRE OU D'AUTRES EDULCORANTS]")</f>
        <v xml:space="preserve">   LACTOSÉRUM, MODIFIÉ OU NON, MÊME CONCENTRÉ OU ADDITIONNÉ DE SUCRE OU D'AUTRES ÉDULCORANTS [01/01/1988-31/12/1991: LACTOSERUM, MÊME CONCENTRÉ OU ADDITIONNÉ DE SUCRE OU D'AUTRES EDULCORANTS]</v>
      </c>
      <c r="C9934">
        <v>1025000</v>
      </c>
      <c r="D9934">
        <v>1107</v>
      </c>
    </row>
    <row r="9935" spans="1:4" x14ac:dyDescent="0.25">
      <c r="A9935" t="str">
        <f>T("   040510")</f>
        <v xml:space="preserve">   040510</v>
      </c>
      <c r="B9935" t="str">
        <f>T("   Beurre (sauf beurre déshydraté et ghee)")</f>
        <v xml:space="preserve">   Beurre (sauf beurre déshydraté et ghee)</v>
      </c>
      <c r="C9935">
        <v>517672</v>
      </c>
      <c r="D9935">
        <v>2370</v>
      </c>
    </row>
    <row r="9936" spans="1:4" x14ac:dyDescent="0.25">
      <c r="A9936" t="str">
        <f>T("   040630")</f>
        <v xml:space="preserve">   040630</v>
      </c>
      <c r="B9936" t="str">
        <f>T("   Fromages fondus (à l'excl. des fromages râpés ou en poudre)")</f>
        <v xml:space="preserve">   Fromages fondus (à l'excl. des fromages râpés ou en poudre)</v>
      </c>
      <c r="C9936">
        <v>87384</v>
      </c>
      <c r="D9936">
        <v>340</v>
      </c>
    </row>
    <row r="9937" spans="1:4" x14ac:dyDescent="0.25">
      <c r="A9937" t="str">
        <f>T("   060110")</f>
        <v xml:space="preserve">   060110</v>
      </c>
      <c r="B9937" t="str">
        <f>T("   Bulbes, oignons, tubercules, racines tubéreuses, griffes et rhizomes, en repos végétatif (à l'excl. des produits servant à l'alimentation humaine ainsi que des plants, plantes et racines de chicorée)")</f>
        <v xml:space="preserve">   Bulbes, oignons, tubercules, racines tubéreuses, griffes et rhizomes, en repos végétatif (à l'excl. des produits servant à l'alimentation humaine ainsi que des plants, plantes et racines de chicorée)</v>
      </c>
      <c r="C9937">
        <v>1000000</v>
      </c>
      <c r="D9937">
        <v>27300</v>
      </c>
    </row>
    <row r="9938" spans="1:4" x14ac:dyDescent="0.25">
      <c r="A9938" t="str">
        <f>T("   070190")</f>
        <v xml:space="preserve">   070190</v>
      </c>
      <c r="B9938" t="str">
        <f>T("   Pommes de terre, à l'état frais ou réfrigéré (à l'excl. des pommes de terre de semence)")</f>
        <v xml:space="preserve">   Pommes de terre, à l'état frais ou réfrigéré (à l'excl. des pommes de terre de semence)</v>
      </c>
      <c r="C9938">
        <v>3976198</v>
      </c>
      <c r="D9938">
        <v>53850</v>
      </c>
    </row>
    <row r="9939" spans="1:4" x14ac:dyDescent="0.25">
      <c r="A9939" t="str">
        <f>T("   070310")</f>
        <v xml:space="preserve">   070310</v>
      </c>
      <c r="B9939" t="str">
        <f>T("   Oignons et échalotes, à l'état frais ou réfrigéré")</f>
        <v xml:space="preserve">   Oignons et échalotes, à l'état frais ou réfrigéré</v>
      </c>
      <c r="C9939">
        <v>147846</v>
      </c>
      <c r="D9939">
        <v>1000</v>
      </c>
    </row>
    <row r="9940" spans="1:4" x14ac:dyDescent="0.25">
      <c r="A9940" t="str">
        <f>T("   070320")</f>
        <v xml:space="preserve">   070320</v>
      </c>
      <c r="B9940" t="str">
        <f>T("   Aulx, à l'état frais ou réfrigéré")</f>
        <v xml:space="preserve">   Aulx, à l'état frais ou réfrigéré</v>
      </c>
      <c r="C9940">
        <v>4841138</v>
      </c>
      <c r="D9940">
        <v>35850</v>
      </c>
    </row>
    <row r="9941" spans="1:4" x14ac:dyDescent="0.25">
      <c r="A9941" t="str">
        <f>T("   070810")</f>
        <v xml:space="preserve">   070810</v>
      </c>
      <c r="B9941" t="str">
        <f>T("   Pois 'Pisum sativum', écossés ou non, à l'état frais ou réfrigéré")</f>
        <v xml:space="preserve">   Pois 'Pisum sativum', écossés ou non, à l'état frais ou réfrigéré</v>
      </c>
      <c r="C9941">
        <v>218460</v>
      </c>
      <c r="D9941">
        <v>2000</v>
      </c>
    </row>
    <row r="9942" spans="1:4" x14ac:dyDescent="0.25">
      <c r="A9942" t="str">
        <f>T("   070960")</f>
        <v xml:space="preserve">   070960</v>
      </c>
      <c r="B9942" t="str">
        <f>T("   Piments du genre 'Capsicum' ou du genre 'Pimenta', à l'état frais ou réfrigéré")</f>
        <v xml:space="preserve">   Piments du genre 'Capsicum' ou du genre 'Pimenta', à l'état frais ou réfrigéré</v>
      </c>
      <c r="C9942">
        <v>557073</v>
      </c>
      <c r="D9942">
        <v>14595</v>
      </c>
    </row>
    <row r="9943" spans="1:4" x14ac:dyDescent="0.25">
      <c r="A9943" t="str">
        <f>T("   071010")</f>
        <v xml:space="preserve">   071010</v>
      </c>
      <c r="B9943" t="str">
        <f>T("   Pommes de terre, non cuites ou cuites à l'eau ou à la vapeur, congelées")</f>
        <v xml:space="preserve">   Pommes de terre, non cuites ou cuites à l'eau ou à la vapeur, congelées</v>
      </c>
      <c r="C9943">
        <v>107384</v>
      </c>
      <c r="D9943">
        <v>3200</v>
      </c>
    </row>
    <row r="9944" spans="1:4" x14ac:dyDescent="0.25">
      <c r="A9944" t="str">
        <f>T("   071310")</f>
        <v xml:space="preserve">   071310</v>
      </c>
      <c r="B9944" t="str">
        <f>T("   Pois 'Pisum sativum', secs, écossés, même décortiqués ou cassés")</f>
        <v xml:space="preserve">   Pois 'Pisum sativum', secs, écossés, même décortiqués ou cassés</v>
      </c>
      <c r="C9944">
        <v>109230</v>
      </c>
      <c r="D9944">
        <v>1480</v>
      </c>
    </row>
    <row r="9945" spans="1:4" x14ac:dyDescent="0.25">
      <c r="A9945" t="str">
        <f>T("   080111")</f>
        <v xml:space="preserve">   080111</v>
      </c>
      <c r="B9945" t="str">
        <f>T("   Noix de coco, desséchées")</f>
        <v xml:space="preserve">   Noix de coco, desséchées</v>
      </c>
      <c r="C9945">
        <v>124757414</v>
      </c>
      <c r="D9945">
        <v>23085059</v>
      </c>
    </row>
    <row r="9946" spans="1:4" x14ac:dyDescent="0.25">
      <c r="A9946" t="str">
        <f>T("   080290")</f>
        <v xml:space="preserve">   080290</v>
      </c>
      <c r="B9946" t="str">
        <f>T("   FRUITS À COQUES, FRAIS OU SECS, MÊME SANS LEURS COQUES OU DÉCORTIQUÉS (À L'EXCL. DES NOIX DE COCO, DU BRÉSIL OU DE CAJOU AINSI QUE DES AMANDES, DES NOISETTES, DES NOIX COMMUNES, DES CHÂTAIGNES, DES MARRONS, DES PISTACHESE ET DES NOIX MACADAMIA)")</f>
        <v xml:space="preserve">   FRUITS À COQUES, FRAIS OU SECS, MÊME SANS LEURS COQUES OU DÉCORTIQUÉS (À L'EXCL. DES NOIX DE COCO, DU BRÉSIL OU DE CAJOU AINSI QUE DES AMANDES, DES NOISETTES, DES NOIX COMMUNES, DES CHÂTAIGNES, DES MARRONS, DES PISTACHESE ET DES NOIX MACADAMIA)</v>
      </c>
      <c r="C9946">
        <v>216100</v>
      </c>
      <c r="D9946">
        <v>5210</v>
      </c>
    </row>
    <row r="9947" spans="1:4" x14ac:dyDescent="0.25">
      <c r="A9947" t="str">
        <f>T("   080300")</f>
        <v xml:space="preserve">   080300</v>
      </c>
      <c r="B9947" t="str">
        <f>T("   Bananes, y.c. les plantains, fraîches ou sèches")</f>
        <v xml:space="preserve">   Bananes, y.c. les plantains, fraîches ou sèches</v>
      </c>
      <c r="C9947">
        <v>1697495</v>
      </c>
      <c r="D9947">
        <v>208800</v>
      </c>
    </row>
    <row r="9948" spans="1:4" x14ac:dyDescent="0.25">
      <c r="A9948" t="str">
        <f>T("   080510")</f>
        <v xml:space="preserve">   080510</v>
      </c>
      <c r="B9948" t="str">
        <f>T("   Oranges, fraîches ou sèches")</f>
        <v xml:space="preserve">   Oranges, fraîches ou sèches</v>
      </c>
      <c r="C9948">
        <v>453810</v>
      </c>
      <c r="D9948">
        <v>73480</v>
      </c>
    </row>
    <row r="9949" spans="1:4" x14ac:dyDescent="0.25">
      <c r="A9949" t="str">
        <f>T("   080590")</f>
        <v xml:space="preserve">   080590</v>
      </c>
      <c r="B9949" t="s">
        <v>22</v>
      </c>
      <c r="C9949">
        <v>97800</v>
      </c>
      <c r="D9949">
        <v>930</v>
      </c>
    </row>
    <row r="9950" spans="1:4" x14ac:dyDescent="0.25">
      <c r="A9950" t="str">
        <f>T("   080610")</f>
        <v xml:space="preserve">   080610</v>
      </c>
      <c r="B9950" t="str">
        <f>T("   Raisins, frais")</f>
        <v xml:space="preserve">   Raisins, frais</v>
      </c>
      <c r="C9950">
        <v>3318389</v>
      </c>
      <c r="D9950">
        <v>30350</v>
      </c>
    </row>
    <row r="9951" spans="1:4" x14ac:dyDescent="0.25">
      <c r="A9951" t="str">
        <f>T("   080810")</f>
        <v xml:space="preserve">   080810</v>
      </c>
      <c r="B9951" t="str">
        <f>T("   Pommes, fraîches")</f>
        <v xml:space="preserve">   Pommes, fraîches</v>
      </c>
      <c r="C9951">
        <v>7665288</v>
      </c>
      <c r="D9951">
        <v>135674</v>
      </c>
    </row>
    <row r="9952" spans="1:4" x14ac:dyDescent="0.25">
      <c r="A9952" t="str">
        <f>T("   090190")</f>
        <v xml:space="preserve">   090190</v>
      </c>
      <c r="B9952" t="str">
        <f>T("   Coques et pellicules de café; succédanés du café contenant du café, quelles que soient les proportions du mélange")</f>
        <v xml:space="preserve">   Coques et pellicules de café; succédanés du café contenant du café, quelles que soient les proportions du mélange</v>
      </c>
      <c r="C9952">
        <v>9000000</v>
      </c>
      <c r="D9952">
        <v>43610</v>
      </c>
    </row>
    <row r="9953" spans="1:4" x14ac:dyDescent="0.25">
      <c r="A9953" t="str">
        <f>T("   090220")</f>
        <v xml:space="preserve">   090220</v>
      </c>
      <c r="B9953" t="str">
        <f>T("   Thé vert [thé non fermenté], présenté en emballages immédiats d'un contenu &gt; 3 kg")</f>
        <v xml:space="preserve">   Thé vert [thé non fermenté], présenté en emballages immédiats d'un contenu &gt; 3 kg</v>
      </c>
      <c r="C9953">
        <v>681818</v>
      </c>
      <c r="D9953">
        <v>2220</v>
      </c>
    </row>
    <row r="9954" spans="1:4" x14ac:dyDescent="0.25">
      <c r="A9954" t="str">
        <f>T("   090240")</f>
        <v xml:space="preserve">   090240</v>
      </c>
      <c r="B9954" t="s">
        <v>26</v>
      </c>
      <c r="C9954">
        <v>116364</v>
      </c>
      <c r="D9954">
        <v>180</v>
      </c>
    </row>
    <row r="9955" spans="1:4" x14ac:dyDescent="0.25">
      <c r="A9955" t="str">
        <f>T("   100190")</f>
        <v xml:space="preserve">   100190</v>
      </c>
      <c r="B9955" t="str">
        <f>T("   Froment [blé] et méteil (à l'excl. du froment [blé] dur)")</f>
        <v xml:space="preserve">   Froment [blé] et méteil (à l'excl. du froment [blé] dur)</v>
      </c>
      <c r="C9955">
        <v>52180755</v>
      </c>
      <c r="D9955">
        <v>521000</v>
      </c>
    </row>
    <row r="9956" spans="1:4" x14ac:dyDescent="0.25">
      <c r="A9956" t="str">
        <f>T("   100590")</f>
        <v xml:space="preserve">   100590</v>
      </c>
      <c r="B9956" t="str">
        <f>T("   Maïs (autre que de semence)")</f>
        <v xml:space="preserve">   Maïs (autre que de semence)</v>
      </c>
      <c r="C9956">
        <v>4927350</v>
      </c>
      <c r="D9956">
        <v>58650</v>
      </c>
    </row>
    <row r="9957" spans="1:4" x14ac:dyDescent="0.25">
      <c r="A9957" t="str">
        <f>T("   100610")</f>
        <v xml:space="preserve">   100610</v>
      </c>
      <c r="B9957" t="str">
        <f>T("   Riz en paille [riz paddy]")</f>
        <v xml:space="preserve">   Riz en paille [riz paddy]</v>
      </c>
      <c r="C9957">
        <v>261070</v>
      </c>
      <c r="D9957">
        <v>1270</v>
      </c>
    </row>
    <row r="9958" spans="1:4" x14ac:dyDescent="0.25">
      <c r="A9958" t="str">
        <f>T("   100620")</f>
        <v xml:space="preserve">   100620</v>
      </c>
      <c r="B9958" t="str">
        <f>T("   Riz décortiqué [riz cargo ou riz brun]")</f>
        <v xml:space="preserve">   Riz décortiqué [riz cargo ou riz brun]</v>
      </c>
      <c r="C9958">
        <v>120016.541</v>
      </c>
      <c r="D9958">
        <v>625</v>
      </c>
    </row>
    <row r="9959" spans="1:4" x14ac:dyDescent="0.25">
      <c r="A9959" t="str">
        <f>T("   100630")</f>
        <v xml:space="preserve">   100630</v>
      </c>
      <c r="B9959" t="str">
        <f>T("   Riz semi-blanchi ou blanchi, même poli ou glacé")</f>
        <v xml:space="preserve">   Riz semi-blanchi ou blanchi, même poli ou glacé</v>
      </c>
      <c r="C9959">
        <v>1613766431.3380001</v>
      </c>
      <c r="D9959">
        <v>6466840</v>
      </c>
    </row>
    <row r="9960" spans="1:4" x14ac:dyDescent="0.25">
      <c r="A9960" t="str">
        <f>T("   100640")</f>
        <v xml:space="preserve">   100640</v>
      </c>
      <c r="B9960" t="str">
        <f>T("   Riz en brisures")</f>
        <v xml:space="preserve">   Riz en brisures</v>
      </c>
      <c r="C9960">
        <v>120278.31200000001</v>
      </c>
      <c r="D9960">
        <v>300</v>
      </c>
    </row>
    <row r="9961" spans="1:4" x14ac:dyDescent="0.25">
      <c r="A9961" t="str">
        <f>T("   110100")</f>
        <v xml:space="preserve">   110100</v>
      </c>
      <c r="B9961" t="str">
        <f>T("   Farines de froment [blé] ou de méteil")</f>
        <v xml:space="preserve">   Farines de froment [blé] ou de méteil</v>
      </c>
      <c r="C9961">
        <v>52000168.273999996</v>
      </c>
      <c r="D9961">
        <v>175480</v>
      </c>
    </row>
    <row r="9962" spans="1:4" x14ac:dyDescent="0.25">
      <c r="A9962" t="str">
        <f>T("   110311")</f>
        <v xml:space="preserve">   110311</v>
      </c>
      <c r="B9962" t="str">
        <f>T("   Gruaux et semoules de froment [blé]")</f>
        <v xml:space="preserve">   Gruaux et semoules de froment [blé]</v>
      </c>
      <c r="C9962">
        <v>330641</v>
      </c>
      <c r="D9962">
        <v>780</v>
      </c>
    </row>
    <row r="9963" spans="1:4" x14ac:dyDescent="0.25">
      <c r="A9963" t="str">
        <f>T("   120710")</f>
        <v xml:space="preserve">   120710</v>
      </c>
      <c r="B9963" t="str">
        <f>T("   NOIX ET AMANDES DE PALMISTES")</f>
        <v xml:space="preserve">   NOIX ET AMANDES DE PALMISTES</v>
      </c>
      <c r="C9963">
        <v>75468875</v>
      </c>
      <c r="D9963">
        <v>6691641</v>
      </c>
    </row>
    <row r="9964" spans="1:4" x14ac:dyDescent="0.25">
      <c r="A9964" t="str">
        <f>T("   120799")</f>
        <v xml:space="preserve">   120799</v>
      </c>
      <c r="B9964" t="s">
        <v>29</v>
      </c>
      <c r="C9964">
        <v>2000000</v>
      </c>
      <c r="D9964">
        <v>12200</v>
      </c>
    </row>
    <row r="9965" spans="1:4" x14ac:dyDescent="0.25">
      <c r="A9965" t="str">
        <f>T("   120810")</f>
        <v xml:space="preserve">   120810</v>
      </c>
      <c r="B9965" t="str">
        <f>T("   Farine de fèves de soja")</f>
        <v xml:space="preserve">   Farine de fèves de soja</v>
      </c>
      <c r="C9965">
        <v>6000000</v>
      </c>
      <c r="D9965">
        <v>52520</v>
      </c>
    </row>
    <row r="9966" spans="1:4" x14ac:dyDescent="0.25">
      <c r="A9966" t="str">
        <f>T("   121190")</f>
        <v xml:space="preserve">   121190</v>
      </c>
      <c r="B9966" t="s">
        <v>31</v>
      </c>
      <c r="C9966">
        <v>1659189</v>
      </c>
      <c r="D9966">
        <v>113770</v>
      </c>
    </row>
    <row r="9967" spans="1:4" x14ac:dyDescent="0.25">
      <c r="A9967" t="str">
        <f>T("   150890")</f>
        <v xml:space="preserve">   150890</v>
      </c>
      <c r="B9967" t="str">
        <f>T("   Huile d'arachide et ses fractions, même raffinées, mais non chimiquement modifiées (à l'excl. de l'huile d'arachide brute)")</f>
        <v xml:space="preserve">   Huile d'arachide et ses fractions, même raffinées, mais non chimiquement modifiées (à l'excl. de l'huile d'arachide brute)</v>
      </c>
      <c r="C9967">
        <v>29697567.914999999</v>
      </c>
      <c r="D9967">
        <v>88180</v>
      </c>
    </row>
    <row r="9968" spans="1:4" x14ac:dyDescent="0.25">
      <c r="A9968" t="str">
        <f>T("   150990")</f>
        <v xml:space="preserve">   150990</v>
      </c>
      <c r="B9968" t="str">
        <f>T("   Huile d'olive et ses fractions, traitées mais non chimiquement modifiées, obtenues, à partir des fruits de l'olivier, uniquement par des procédés mécaniques ou physiques, dans des conditions n'altérant pas l'huile")</f>
        <v xml:space="preserve">   Huile d'olive et ses fractions, traitées mais non chimiquement modifiées, obtenues, à partir des fruits de l'olivier, uniquement par des procédés mécaniques ou physiques, dans des conditions n'altérant pas l'huile</v>
      </c>
      <c r="C9968">
        <v>31427</v>
      </c>
      <c r="D9968">
        <v>170</v>
      </c>
    </row>
    <row r="9969" spans="1:4" x14ac:dyDescent="0.25">
      <c r="A9969" t="str">
        <f>T("   151110")</f>
        <v xml:space="preserve">   151110</v>
      </c>
      <c r="B9969" t="str">
        <f>T("   Huile de palme, brute")</f>
        <v xml:space="preserve">   Huile de palme, brute</v>
      </c>
      <c r="C9969">
        <v>58777450</v>
      </c>
      <c r="D9969">
        <v>585586</v>
      </c>
    </row>
    <row r="9970" spans="1:4" x14ac:dyDescent="0.25">
      <c r="A9970" t="str">
        <f>T("   151190")</f>
        <v xml:space="preserve">   151190</v>
      </c>
      <c r="B9970" t="str">
        <f>T("   Huile de palme et ses fractions, même raffinées, mais non chimiquement modifiées (à l'excl. de l'huile de palme brute)")</f>
        <v xml:space="preserve">   Huile de palme et ses fractions, même raffinées, mais non chimiquement modifiées (à l'excl. de l'huile de palme brute)</v>
      </c>
      <c r="C9970">
        <v>619939271.94799995</v>
      </c>
      <c r="D9970">
        <v>1919993</v>
      </c>
    </row>
    <row r="9971" spans="1:4" x14ac:dyDescent="0.25">
      <c r="A9971" t="str">
        <f>T("   151229")</f>
        <v xml:space="preserve">   151229</v>
      </c>
      <c r="B9971" t="str">
        <f>T("   Huile de coton et ses fractions, même dépourvues de gossipol ou raffinées, mais non chimiquement modifiées (à l'excl. de l'huile de coton brute)")</f>
        <v xml:space="preserve">   Huile de coton et ses fractions, même dépourvues de gossipol ou raffinées, mais non chimiquement modifiées (à l'excl. de l'huile de coton brute)</v>
      </c>
      <c r="C9971">
        <v>85603611</v>
      </c>
      <c r="D9971">
        <v>409060</v>
      </c>
    </row>
    <row r="9972" spans="1:4" x14ac:dyDescent="0.25">
      <c r="A9972" t="str">
        <f>T("   151311")</f>
        <v xml:space="preserve">   151311</v>
      </c>
      <c r="B9972" t="str">
        <f>T("   Huile de coco [coprah], brute")</f>
        <v xml:space="preserve">   Huile de coco [coprah], brute</v>
      </c>
      <c r="C9972">
        <v>560007</v>
      </c>
      <c r="D9972">
        <v>12740</v>
      </c>
    </row>
    <row r="9973" spans="1:4" x14ac:dyDescent="0.25">
      <c r="A9973" t="str">
        <f>T("   151319")</f>
        <v xml:space="preserve">   151319</v>
      </c>
      <c r="B9973" t="str">
        <f>T("   Huile de coco [coprah] et ses fractions, même raffinées, mais non chimiquement modifiées (à l'excl. de l'huile de coco brute)")</f>
        <v xml:space="preserve">   Huile de coco [coprah] et ses fractions, même raffinées, mais non chimiquement modifiées (à l'excl. de l'huile de coco brute)</v>
      </c>
      <c r="C9973">
        <v>41900</v>
      </c>
      <c r="D9973">
        <v>1100</v>
      </c>
    </row>
    <row r="9974" spans="1:4" x14ac:dyDescent="0.25">
      <c r="A9974" t="str">
        <f>T("   151329")</f>
        <v xml:space="preserve">   151329</v>
      </c>
      <c r="B9974" t="str">
        <f>T("   Huiles de palmiste ou de babassu et leurs fractions, même raffinées, mais non chimiquement modifiées (à l'excl. des huiles brutes)")</f>
        <v xml:space="preserve">   Huiles de palmiste ou de babassu et leurs fractions, même raffinées, mais non chimiquement modifiées (à l'excl. des huiles brutes)</v>
      </c>
      <c r="C9974">
        <v>4121578</v>
      </c>
      <c r="D9974">
        <v>2495</v>
      </c>
    </row>
    <row r="9975" spans="1:4" x14ac:dyDescent="0.25">
      <c r="A9975" t="str">
        <f>T("   151590")</f>
        <v xml:space="preserve">   151590</v>
      </c>
      <c r="B9975" t="s">
        <v>35</v>
      </c>
      <c r="C9975">
        <v>7820119</v>
      </c>
      <c r="D9975">
        <v>61043</v>
      </c>
    </row>
    <row r="9976" spans="1:4" x14ac:dyDescent="0.25">
      <c r="A9976" t="str">
        <f>T("   151620")</f>
        <v xml:space="preserve">   151620</v>
      </c>
      <c r="B9976"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9976">
        <v>225531082</v>
      </c>
      <c r="D9976">
        <v>1114488</v>
      </c>
    </row>
    <row r="9977" spans="1:4" x14ac:dyDescent="0.25">
      <c r="A9977" t="str">
        <f>T("   151710")</f>
        <v xml:space="preserve">   151710</v>
      </c>
      <c r="B9977" t="str">
        <f>T("   Margarine (à l'excl. de la margarine liquide)")</f>
        <v xml:space="preserve">   Margarine (à l'excl. de la margarine liquide)</v>
      </c>
      <c r="C9977">
        <v>1038000</v>
      </c>
      <c r="D9977">
        <v>3950</v>
      </c>
    </row>
    <row r="9978" spans="1:4" x14ac:dyDescent="0.25">
      <c r="A9978" t="str">
        <f>T("   152200")</f>
        <v xml:space="preserve">   152200</v>
      </c>
      <c r="B9978" t="str">
        <f>T("   Dégras; résidus provenant du traitement des corps gras ou des cires animales ou végétales")</f>
        <v xml:space="preserve">   Dégras; résidus provenant du traitement des corps gras ou des cires animales ou végétales</v>
      </c>
      <c r="C9978">
        <v>96600</v>
      </c>
      <c r="D9978">
        <v>400</v>
      </c>
    </row>
    <row r="9979" spans="1:4" x14ac:dyDescent="0.25">
      <c r="A9979" t="str">
        <f>T("   160100")</f>
        <v xml:space="preserve">   160100</v>
      </c>
      <c r="B9979" t="str">
        <f>T("   Saucisses, saucissons et produits simil., de viande, d'abats ou de sang; préparations alimentaires à base de ces produits")</f>
        <v xml:space="preserve">   Saucisses, saucissons et produits simil., de viande, d'abats ou de sang; préparations alimentaires à base de ces produits</v>
      </c>
      <c r="C9979">
        <v>6545560</v>
      </c>
      <c r="D9979">
        <v>11636</v>
      </c>
    </row>
    <row r="9980" spans="1:4" x14ac:dyDescent="0.25">
      <c r="A9980" t="str">
        <f>T("   160413")</f>
        <v xml:space="preserve">   160413</v>
      </c>
      <c r="B9980" t="str">
        <f>T("   Préparations et conserves de sardines, sardinelles, sprats ou esprots, entiers ou en morceaux (à l'excl. des préparations et conserves de poissons hachés)")</f>
        <v xml:space="preserve">   Préparations et conserves de sardines, sardinelles, sprats ou esprots, entiers ou en morceaux (à l'excl. des préparations et conserves de poissons hachés)</v>
      </c>
      <c r="C9980">
        <v>1694870</v>
      </c>
      <c r="D9980">
        <v>12400</v>
      </c>
    </row>
    <row r="9981" spans="1:4" x14ac:dyDescent="0.25">
      <c r="A9981" t="str">
        <f>T("   170191")</f>
        <v xml:space="preserve">   170191</v>
      </c>
      <c r="B9981" t="str">
        <f>T("   Sucres de canne ou de betterave, à l'état solide, additionnés d'aromatisants ou de colorants")</f>
        <v xml:space="preserve">   Sucres de canne ou de betterave, à l'état solide, additionnés d'aromatisants ou de colorants</v>
      </c>
      <c r="C9981">
        <v>41755775.950000003</v>
      </c>
      <c r="D9981">
        <v>180000</v>
      </c>
    </row>
    <row r="9982" spans="1:4" x14ac:dyDescent="0.25">
      <c r="A9982" t="str">
        <f>T("   170199")</f>
        <v xml:space="preserve">   170199</v>
      </c>
      <c r="B9982"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9982">
        <v>272188929.33200002</v>
      </c>
      <c r="D9982">
        <v>2313292</v>
      </c>
    </row>
    <row r="9983" spans="1:4" x14ac:dyDescent="0.25">
      <c r="A9983" t="str">
        <f>T("   170410")</f>
        <v xml:space="preserve">   170410</v>
      </c>
      <c r="B9983" t="str">
        <f>T("   Gommes à mâcher [chewing-gum], même enrobées de sucre")</f>
        <v xml:space="preserve">   Gommes à mâcher [chewing-gum], même enrobées de sucre</v>
      </c>
      <c r="C9983">
        <v>3883050</v>
      </c>
      <c r="D9983">
        <v>19610</v>
      </c>
    </row>
    <row r="9984" spans="1:4" x14ac:dyDescent="0.25">
      <c r="A9984" t="str">
        <f>T("   170490")</f>
        <v xml:space="preserve">   170490</v>
      </c>
      <c r="B9984" t="str">
        <f>T("   Sucreries sans cacao, y.c. le chocolat blanc (à l'excl. des gommes à mâcher)")</f>
        <v xml:space="preserve">   Sucreries sans cacao, y.c. le chocolat blanc (à l'excl. des gommes à mâcher)</v>
      </c>
      <c r="C9984">
        <v>59969107</v>
      </c>
      <c r="D9984">
        <v>302125</v>
      </c>
    </row>
    <row r="9985" spans="1:4" x14ac:dyDescent="0.25">
      <c r="A9985" t="str">
        <f>T("   180200")</f>
        <v xml:space="preserve">   180200</v>
      </c>
      <c r="B9985" t="str">
        <f>T("   Coques, pellicules [pelures] et autres déchets de cacao")</f>
        <v xml:space="preserve">   Coques, pellicules [pelures] et autres déchets de cacao</v>
      </c>
      <c r="C9985">
        <v>6339873</v>
      </c>
      <c r="D9985">
        <v>433710</v>
      </c>
    </row>
    <row r="9986" spans="1:4" x14ac:dyDescent="0.25">
      <c r="A9986" t="str">
        <f>T("   180500")</f>
        <v xml:space="preserve">   180500</v>
      </c>
      <c r="B9986" t="str">
        <f>T("   Poudre de cacao, sans addition de sucre ou d'autres édulcorants")</f>
        <v xml:space="preserve">   Poudre de cacao, sans addition de sucre ou d'autres édulcorants</v>
      </c>
      <c r="C9986">
        <v>86440</v>
      </c>
      <c r="D9986">
        <v>300</v>
      </c>
    </row>
    <row r="9987" spans="1:4" x14ac:dyDescent="0.25">
      <c r="A9987" t="str">
        <f>T("   180610")</f>
        <v xml:space="preserve">   180610</v>
      </c>
      <c r="B9987" t="str">
        <f>T("   Poudre de cacao, additionnée de sucre ou d'autres édulcorants")</f>
        <v xml:space="preserve">   Poudre de cacao, additionnée de sucre ou d'autres édulcorants</v>
      </c>
      <c r="C9987">
        <v>1787995</v>
      </c>
      <c r="D9987">
        <v>8848</v>
      </c>
    </row>
    <row r="9988" spans="1:4" x14ac:dyDescent="0.25">
      <c r="A9988" t="str">
        <f>T("   190110")</f>
        <v xml:space="preserve">   190110</v>
      </c>
      <c r="B9988" t="s">
        <v>47</v>
      </c>
      <c r="C9988">
        <v>166362734</v>
      </c>
      <c r="D9988">
        <v>80161</v>
      </c>
    </row>
    <row r="9989" spans="1:4" x14ac:dyDescent="0.25">
      <c r="A9989" t="str">
        <f>T("   190190")</f>
        <v xml:space="preserve">   190190</v>
      </c>
      <c r="B9989" t="s">
        <v>49</v>
      </c>
      <c r="C9989">
        <v>28786958</v>
      </c>
      <c r="D9989">
        <v>29854</v>
      </c>
    </row>
    <row r="9990" spans="1:4" x14ac:dyDescent="0.25">
      <c r="A9990" t="str">
        <f>T("   190211")</f>
        <v xml:space="preserve">   190211</v>
      </c>
      <c r="B9990" t="str">
        <f>T("   Pâtes alimentaires non cuites ni farcies ni autrement préparées, contenant des oeufs")</f>
        <v xml:space="preserve">   Pâtes alimentaires non cuites ni farcies ni autrement préparées, contenant des oeufs</v>
      </c>
      <c r="C9990">
        <v>13000000</v>
      </c>
      <c r="D9990">
        <v>73970</v>
      </c>
    </row>
    <row r="9991" spans="1:4" x14ac:dyDescent="0.25">
      <c r="A9991" t="str">
        <f>T("   190219")</f>
        <v xml:space="preserve">   190219</v>
      </c>
      <c r="B9991" t="str">
        <f>T("   PÂTES ALIMENTAIRES NON-CUITES NI FARCIES NI AUTREMENT PRÉPARÉES, NE CONTENANT PAS D'OEUFS")</f>
        <v xml:space="preserve">   PÂTES ALIMENTAIRES NON-CUITES NI FARCIES NI AUTREMENT PRÉPARÉES, NE CONTENANT PAS D'OEUFS</v>
      </c>
      <c r="C9991">
        <v>257090489</v>
      </c>
      <c r="D9991">
        <v>1542398</v>
      </c>
    </row>
    <row r="9992" spans="1:4" x14ac:dyDescent="0.25">
      <c r="A9992" t="str">
        <f>T("   190220")</f>
        <v xml:space="preserve">   190220</v>
      </c>
      <c r="B9992" t="str">
        <f>T("   Pâtes alimentaires, farcies de viande ou d'autres substances, même cuites ou autrement préparées")</f>
        <v xml:space="preserve">   Pâtes alimentaires, farcies de viande ou d'autres substances, même cuites ou autrement préparées</v>
      </c>
      <c r="C9992">
        <v>734738</v>
      </c>
      <c r="D9992">
        <v>10570</v>
      </c>
    </row>
    <row r="9993" spans="1:4" x14ac:dyDescent="0.25">
      <c r="A9993" t="str">
        <f>T("   190230")</f>
        <v xml:space="preserve">   190230</v>
      </c>
      <c r="B9993" t="str">
        <f>T("   Pâtes alimentaires, cuites ou autrement préparées (à l'excl. des pâtes alimentaires farcies)")</f>
        <v xml:space="preserve">   Pâtes alimentaires, cuites ou autrement préparées (à l'excl. des pâtes alimentaires farcies)</v>
      </c>
      <c r="C9993">
        <v>7780901</v>
      </c>
      <c r="D9993">
        <v>75695</v>
      </c>
    </row>
    <row r="9994" spans="1:4" x14ac:dyDescent="0.25">
      <c r="A9994" t="str">
        <f>T("   190530")</f>
        <v xml:space="preserve">   190530</v>
      </c>
      <c r="B9994" t="str">
        <f>T("   BISCUITS ADDITIONNES D'EDULCORANTS, GAUFRES ET GAUFRETTES, MÊME ADDITIONNES DE CACAO (À L'EXCL. DES GAUFRES ET GAUFRETTES AYANT UNE TENEUR EN EAU &gt; 10%)")</f>
        <v xml:space="preserve">   BISCUITS ADDITIONNES D'EDULCORANTS, GAUFRES ET GAUFRETTES, MÊME ADDITIONNES DE CACAO (À L'EXCL. DES GAUFRES ET GAUFRETTES AYANT UNE TENEUR EN EAU &gt; 10%)</v>
      </c>
      <c r="C9994">
        <v>667648</v>
      </c>
      <c r="D9994">
        <v>2435</v>
      </c>
    </row>
    <row r="9995" spans="1:4" x14ac:dyDescent="0.25">
      <c r="A9995" t="str">
        <f>T("   190531")</f>
        <v xml:space="preserve">   190531</v>
      </c>
      <c r="B9995" t="str">
        <f>T("   Biscuits additionnés d'édulcorants")</f>
        <v xml:space="preserve">   Biscuits additionnés d'édulcorants</v>
      </c>
      <c r="C9995">
        <v>1550000</v>
      </c>
      <c r="D9995">
        <v>4375</v>
      </c>
    </row>
    <row r="9996" spans="1:4" x14ac:dyDescent="0.25">
      <c r="A9996" t="str">
        <f>T("   190590")</f>
        <v xml:space="preserve">   190590</v>
      </c>
      <c r="B9996" t="s">
        <v>51</v>
      </c>
      <c r="C9996">
        <v>7886036</v>
      </c>
      <c r="D9996">
        <v>35150</v>
      </c>
    </row>
    <row r="9997" spans="1:4" x14ac:dyDescent="0.25">
      <c r="A9997" t="str">
        <f>T("   200290")</f>
        <v xml:space="preserve">   200290</v>
      </c>
      <c r="B9997"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9997">
        <v>61569724</v>
      </c>
      <c r="D9997">
        <v>382180</v>
      </c>
    </row>
    <row r="9998" spans="1:4" x14ac:dyDescent="0.25">
      <c r="A9998" t="str">
        <f>T("   200490")</f>
        <v xml:space="preserve">   200490</v>
      </c>
      <c r="B9998" t="str">
        <f>T("   LÉGUMES ET MÉLANGES DE LÉGUMES, PRÉPARÉS OU CONSERVÉS AUTREMENT QU'AU VINAIGRE OU À L'ACIDE ACÉTIQUE, CONGELÉS (À L'EXCL. DES CONFITS AU SUCRE AINSI QUE DES TOMATES, DES CHAMPIGNONS, DES TRUFFES ET DES POMMES DE TERRE, NON-MÉLANGÉS)")</f>
        <v xml:space="preserve">   LÉGUMES ET MÉLANGES DE LÉGUMES, PRÉPARÉS OU CONSERVÉS AUTREMENT QU'AU VINAIGRE OU À L'ACIDE ACÉTIQUE, CONGELÉS (À L'EXCL. DES CONFITS AU SUCRE AINSI QUE DES TOMATES, DES CHAMPIGNONS, DES TRUFFES ET DES POMMES DE TERRE, NON-MÉLANGÉS)</v>
      </c>
      <c r="C9998">
        <v>86440</v>
      </c>
      <c r="D9998">
        <v>840</v>
      </c>
    </row>
    <row r="9999" spans="1:4" x14ac:dyDescent="0.25">
      <c r="A9999" t="str">
        <f>T("   200580")</f>
        <v xml:space="preserve">   200580</v>
      </c>
      <c r="B9999" t="str">
        <f>T("   Maïs doux [Zea mays var. saccharata], préparé ou conservé autrement qu'au vinaigre ou à l'acide acétique, non congelé")</f>
        <v xml:space="preserve">   Maïs doux [Zea mays var. saccharata], préparé ou conservé autrement qu'au vinaigre ou à l'acide acétique, non congelé</v>
      </c>
      <c r="C9999">
        <v>324149</v>
      </c>
      <c r="D9999">
        <v>5640</v>
      </c>
    </row>
    <row r="10000" spans="1:4" x14ac:dyDescent="0.25">
      <c r="A10000" t="str">
        <f>T("   200710")</f>
        <v xml:space="preserve">   200710</v>
      </c>
      <c r="B10000" t="s">
        <v>53</v>
      </c>
      <c r="C10000">
        <v>4219199</v>
      </c>
      <c r="D10000">
        <v>39302</v>
      </c>
    </row>
    <row r="10001" spans="1:4" x14ac:dyDescent="0.25">
      <c r="A10001" t="str">
        <f>T("   200811")</f>
        <v xml:space="preserve">   200811</v>
      </c>
      <c r="B10001" t="str">
        <f>T("   Arachides, préparées ou conservées (sauf confites au sucre)")</f>
        <v xml:space="preserve">   Arachides, préparées ou conservées (sauf confites au sucre)</v>
      </c>
      <c r="C10001">
        <v>22500</v>
      </c>
      <c r="D10001">
        <v>90</v>
      </c>
    </row>
    <row r="10002" spans="1:4" x14ac:dyDescent="0.25">
      <c r="A10002" t="str">
        <f>T("   200919")</f>
        <v xml:space="preserve">   200919</v>
      </c>
      <c r="B10002" t="str">
        <f>T("   JUS D'ORANGE, NON-FERMENTÉS, SANS ADDITION D'ALCOOL, AVEC OU SANS ADDITION DE SUCRE OU D'AUTRES ÉDULCORANTS (À L'EXCL. DES JUS CONGELÉS ET DES JUS D'UNE VALEUR BRIX &lt;= 20 À 20°C)")</f>
        <v xml:space="preserve">   JUS D'ORANGE, NON-FERMENTÉS, SANS ADDITION D'ALCOOL, AVEC OU SANS ADDITION DE SUCRE OU D'AUTRES ÉDULCORANTS (À L'EXCL. DES JUS CONGELÉS ET DES JUS D'UNE VALEUR BRIX &lt;= 20 À 20°C)</v>
      </c>
      <c r="C10002">
        <v>6862000</v>
      </c>
      <c r="D10002">
        <v>42250</v>
      </c>
    </row>
    <row r="10003" spans="1:4" x14ac:dyDescent="0.25">
      <c r="A10003" t="str">
        <f>T("   200939")</f>
        <v xml:space="preserve">   200939</v>
      </c>
      <c r="B10003" t="str">
        <f>T("   JUS D'AGRUMES, NON-FERMENTÉS, SANS ADDITION D'ALCOOL, AVEC OU SANS ADDITION DE SUCRE OU D'AUTRES ÉDULCORANTS, D'UNE VALEUR BRIX &gt; 20 À 20°C (À L'EXCL. DES MÉLANGES AINSI QUE DES JUS D'ORANGE, DE PAMPLEMOUSSE OU DE POMELO)")</f>
        <v xml:space="preserve">   JUS D'AGRUMES, NON-FERMENTÉS, SANS ADDITION D'ALCOOL, AVEC OU SANS ADDITION DE SUCRE OU D'AUTRES ÉDULCORANTS, D'UNE VALEUR BRIX &gt; 20 À 20°C (À L'EXCL. DES MÉLANGES AINSI QUE DES JUS D'ORANGE, DE PAMPLEMOUSSE OU DE POMELO)</v>
      </c>
      <c r="C10003">
        <v>6000000</v>
      </c>
      <c r="D10003">
        <v>27980</v>
      </c>
    </row>
    <row r="10004" spans="1:4" x14ac:dyDescent="0.25">
      <c r="A10004" t="str">
        <f>T("   200949")</f>
        <v xml:space="preserve">   200949</v>
      </c>
      <c r="B10004" t="str">
        <f>T("   JUS D'ANANAS, NON-FERMENTÉS, SANS ADDITION D'ALCOOL, AVEC OU SANS ADDITION DE SUCRE OU D'AUTRES ÉDULCORANTS, D'UNE VALEUR BRIX &gt; 20 À 20°C")</f>
        <v xml:space="preserve">   JUS D'ANANAS, NON-FERMENTÉS, SANS ADDITION D'ALCOOL, AVEC OU SANS ADDITION DE SUCRE OU D'AUTRES ÉDULCORANTS, D'UNE VALEUR BRIX &gt; 20 À 20°C</v>
      </c>
      <c r="C10004">
        <v>5000000</v>
      </c>
      <c r="D10004">
        <v>25820</v>
      </c>
    </row>
    <row r="10005" spans="1:4" x14ac:dyDescent="0.25">
      <c r="A10005" t="str">
        <f>T("   200980")</f>
        <v xml:space="preserve">   200980</v>
      </c>
      <c r="B10005"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10005">
        <v>8892063</v>
      </c>
      <c r="D10005">
        <v>44300</v>
      </c>
    </row>
    <row r="10006" spans="1:4" x14ac:dyDescent="0.25">
      <c r="A10006" t="str">
        <f>T("   200990")</f>
        <v xml:space="preserve">   200990</v>
      </c>
      <c r="B10006"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10006">
        <v>1875200</v>
      </c>
      <c r="D10006">
        <v>23560</v>
      </c>
    </row>
    <row r="10007" spans="1:4" x14ac:dyDescent="0.25">
      <c r="A10007" t="str">
        <f>T("   210111")</f>
        <v xml:space="preserve">   210111</v>
      </c>
      <c r="B10007" t="str">
        <f>T("   Extraits, essences et concentrés de café")</f>
        <v xml:space="preserve">   Extraits, essences et concentrés de café</v>
      </c>
      <c r="C10007">
        <v>253564695</v>
      </c>
      <c r="D10007">
        <v>40682</v>
      </c>
    </row>
    <row r="10008" spans="1:4" x14ac:dyDescent="0.25">
      <c r="A10008" t="str">
        <f>T("   210112")</f>
        <v xml:space="preserve">   210112</v>
      </c>
      <c r="B10008" t="str">
        <f>T("   Préparations à base d'extraits, essences ou concentrés de café ou à base de café")</f>
        <v xml:space="preserve">   Préparations à base d'extraits, essences ou concentrés de café ou à base de café</v>
      </c>
      <c r="C10008">
        <v>43663191</v>
      </c>
      <c r="D10008">
        <v>7771</v>
      </c>
    </row>
    <row r="10009" spans="1:4" x14ac:dyDescent="0.25">
      <c r="A10009" t="str">
        <f>T("   210330")</f>
        <v xml:space="preserve">   210330</v>
      </c>
      <c r="B10009" t="str">
        <f>T("   Farine de moutarde et moutarde préparée")</f>
        <v xml:space="preserve">   Farine de moutarde et moutarde préparée</v>
      </c>
      <c r="C10009">
        <v>216099</v>
      </c>
      <c r="D10009">
        <v>600</v>
      </c>
    </row>
    <row r="10010" spans="1:4" x14ac:dyDescent="0.25">
      <c r="A10010" t="str">
        <f>T("   210390")</f>
        <v xml:space="preserve">   210390</v>
      </c>
      <c r="B10010"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10010">
        <v>18987936</v>
      </c>
      <c r="D10010">
        <v>118972</v>
      </c>
    </row>
    <row r="10011" spans="1:4" x14ac:dyDescent="0.25">
      <c r="A10011" t="str">
        <f>T("   210410")</f>
        <v xml:space="preserve">   210410</v>
      </c>
      <c r="B10011" t="str">
        <f>T("   Préparations pour soupes, potages ou bouillons; soupes, potages ou bouillons préparés")</f>
        <v xml:space="preserve">   Préparations pour soupes, potages ou bouillons; soupes, potages ou bouillons préparés</v>
      </c>
      <c r="C10011">
        <v>52260948</v>
      </c>
      <c r="D10011">
        <v>70120</v>
      </c>
    </row>
    <row r="10012" spans="1:4" x14ac:dyDescent="0.25">
      <c r="A10012" t="str">
        <f>T("   210500")</f>
        <v xml:space="preserve">   210500</v>
      </c>
      <c r="B10012" t="str">
        <f>T("   Glaces de consommation, même contenant du cacao")</f>
        <v xml:space="preserve">   Glaces de consommation, même contenant du cacao</v>
      </c>
      <c r="C10012">
        <v>1864176900</v>
      </c>
      <c r="D10012">
        <v>5575570</v>
      </c>
    </row>
    <row r="10013" spans="1:4" x14ac:dyDescent="0.25">
      <c r="A10013" t="str">
        <f>T("   210610")</f>
        <v xml:space="preserve">   210610</v>
      </c>
      <c r="B10013" t="str">
        <f>T("   Concentrats de protéines et substances protéiques texturées")</f>
        <v xml:space="preserve">   Concentrats de protéines et substances protéiques texturées</v>
      </c>
      <c r="C10013">
        <v>2937119</v>
      </c>
      <c r="D10013">
        <v>11420</v>
      </c>
    </row>
    <row r="10014" spans="1:4" x14ac:dyDescent="0.25">
      <c r="A10014" t="str">
        <f>T("   210690")</f>
        <v xml:space="preserve">   210690</v>
      </c>
      <c r="B10014" t="str">
        <f>T("   Préparations alimentaires, n.d.a.")</f>
        <v xml:space="preserve">   Préparations alimentaires, n.d.a.</v>
      </c>
      <c r="C10014">
        <v>18000</v>
      </c>
      <c r="D10014">
        <v>48</v>
      </c>
    </row>
    <row r="10015" spans="1:4" x14ac:dyDescent="0.25">
      <c r="A10015" t="str">
        <f>T("   220110")</f>
        <v xml:space="preserve">   220110</v>
      </c>
      <c r="B10015" t="str">
        <f>T("   Eaux minérales et eaux gazéifiées, non additionnées de sucre ou d'autres édulcorants ni aromatisées")</f>
        <v xml:space="preserve">   Eaux minérales et eaux gazéifiées, non additionnées de sucre ou d'autres édulcorants ni aromatisées</v>
      </c>
      <c r="C10015">
        <v>23293469</v>
      </c>
      <c r="D10015">
        <v>319064</v>
      </c>
    </row>
    <row r="10016" spans="1:4" x14ac:dyDescent="0.25">
      <c r="A10016" t="str">
        <f>T("   220190")</f>
        <v xml:space="preserve">   220190</v>
      </c>
      <c r="B10016" t="str">
        <f>T("   Eaux, non additionnées de sucre ou d'autres édulcorants ni aromatisées (à l'excl. des eaux minérales, des eaux gazéifiées, de l'eau de mer ainsi que des eaux distillées, de conductibilité ou de même degré de pureté); glace et neige")</f>
        <v xml:space="preserve">   Eaux, non additionnées de sucre ou d'autres édulcorants ni aromatisées (à l'excl. des eaux minérales, des eaux gazéifiées, de l'eau de mer ainsi que des eaux distillées, de conductibilité ou de même degré de pureté); glace et neige</v>
      </c>
      <c r="C10016">
        <v>88336</v>
      </c>
      <c r="D10016">
        <v>519.4</v>
      </c>
    </row>
    <row r="10017" spans="1:4" x14ac:dyDescent="0.25">
      <c r="A10017" t="str">
        <f>T("   220210")</f>
        <v xml:space="preserve">   220210</v>
      </c>
      <c r="B10017"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10017">
        <v>1935829988</v>
      </c>
      <c r="D10017">
        <v>12261070</v>
      </c>
    </row>
    <row r="10018" spans="1:4" x14ac:dyDescent="0.25">
      <c r="A10018" t="str">
        <f>T("   220290")</f>
        <v xml:space="preserve">   220290</v>
      </c>
      <c r="B10018" t="str">
        <f>T("   BOISSONS NON-ALCOOLIQUES (À L'EXCL. DES EAUX, DES JUS DE FRUITS OU DE LÉGUMES AINSI QUE DU LAIT)")</f>
        <v xml:space="preserve">   BOISSONS NON-ALCOOLIQUES (À L'EXCL. DES EAUX, DES JUS DE FRUITS OU DE LÉGUMES AINSI QUE DU LAIT)</v>
      </c>
      <c r="C10018">
        <v>118114260</v>
      </c>
      <c r="D10018">
        <v>702300</v>
      </c>
    </row>
    <row r="10019" spans="1:4" x14ac:dyDescent="0.25">
      <c r="A10019" t="str">
        <f>T("   220300")</f>
        <v xml:space="preserve">   220300</v>
      </c>
      <c r="B10019" t="str">
        <f>T("   Bières de malt")</f>
        <v xml:space="preserve">   Bières de malt</v>
      </c>
      <c r="C10019">
        <v>1050321944</v>
      </c>
      <c r="D10019">
        <v>2507138.2799999998</v>
      </c>
    </row>
    <row r="10020" spans="1:4" x14ac:dyDescent="0.25">
      <c r="A10020" t="str">
        <f>T("   220410")</f>
        <v xml:space="preserve">   220410</v>
      </c>
      <c r="B10020" t="str">
        <f>T("   Vins mousseux produits à partir de raisins frais")</f>
        <v xml:space="preserve">   Vins mousseux produits à partir de raisins frais</v>
      </c>
      <c r="C10020">
        <v>7000000</v>
      </c>
      <c r="D10020">
        <v>28780</v>
      </c>
    </row>
    <row r="10021" spans="1:4" x14ac:dyDescent="0.25">
      <c r="A10021" t="str">
        <f>T("   220421")</f>
        <v xml:space="preserve">   220421</v>
      </c>
      <c r="B10021" t="str">
        <f>T("   Vins de raisins frais, y.c. les vins enrichis en alcool (à l'excl. des vins mousseux); moûts de raisins dont la fermentation a été empêchée ou arrêtée par addition d'alcool, en récipients d'une contenance &lt;= 2 l")</f>
        <v xml:space="preserve">   Vins de raisins frais, y.c. les vins enrichis en alcool (à l'excl. des vins mousseux); moûts de raisins dont la fermentation a été empêchée ou arrêtée par addition d'alcool, en récipients d'une contenance &lt;= 2 l</v>
      </c>
      <c r="C10021">
        <v>30242456</v>
      </c>
      <c r="D10021">
        <v>256720</v>
      </c>
    </row>
    <row r="10022" spans="1:4" x14ac:dyDescent="0.25">
      <c r="A10022" t="str">
        <f>T("   220429")</f>
        <v xml:space="preserve">   220429</v>
      </c>
      <c r="B10022" t="str">
        <f>T("   VINS DE RAISINS FRAIS, Y.C. LES VINS ENRICHIS EN ALCOOL, ET MOÛTS DE RAISINS DONT LA FERMENTATION A ÉTÉ EMPÊCHÉE OU ARRÊTÉE PAR ADDITION D'ALCOOL, EN RÉCIPIENTS D'UNE CONTENANCE &gt; 2 L (À L'EXCL. DES VINS MOUSSEUX)")</f>
        <v xml:space="preserve">   VINS DE RAISINS FRAIS, Y.C. LES VINS ENRICHIS EN ALCOOL, ET MOÛTS DE RAISINS DONT LA FERMENTATION A ÉTÉ EMPÊCHÉE OU ARRÊTÉE PAR ADDITION D'ALCOOL, EN RÉCIPIENTS D'UNE CONTENANCE &gt; 2 L (À L'EXCL. DES VINS MOUSSEUX)</v>
      </c>
      <c r="C10022">
        <v>314648</v>
      </c>
      <c r="D10022">
        <v>2860</v>
      </c>
    </row>
    <row r="10023" spans="1:4" x14ac:dyDescent="0.25">
      <c r="A10023" t="str">
        <f>T("   220590")</f>
        <v xml:space="preserve">   220590</v>
      </c>
      <c r="B10023" t="str">
        <f>T("   Vermouths et autres vins de raisins frais préparés à l'aide de plantes ou de substances aromatiques, en récipients d'une contenance &gt; 2 l")</f>
        <v xml:space="preserve">   Vermouths et autres vins de raisins frais préparés à l'aide de plantes ou de substances aromatiques, en récipients d'une contenance &gt; 2 l</v>
      </c>
      <c r="C10023">
        <v>14073376</v>
      </c>
      <c r="D10023">
        <v>76268</v>
      </c>
    </row>
    <row r="10024" spans="1:4" x14ac:dyDescent="0.25">
      <c r="A10024" t="str">
        <f>T("   220600")</f>
        <v xml:space="preserve">   220600</v>
      </c>
      <c r="B10024" t="s">
        <v>60</v>
      </c>
      <c r="C10024">
        <v>9500000</v>
      </c>
      <c r="D10024">
        <v>47240</v>
      </c>
    </row>
    <row r="10025" spans="1:4" x14ac:dyDescent="0.25">
      <c r="A10025" t="str">
        <f>T("   220830")</f>
        <v xml:space="preserve">   220830</v>
      </c>
      <c r="B10025" t="str">
        <f>T("   Whiskies")</f>
        <v xml:space="preserve">   Whiskies</v>
      </c>
      <c r="C10025">
        <v>8483754</v>
      </c>
      <c r="D10025">
        <v>35169</v>
      </c>
    </row>
    <row r="10026" spans="1:4" x14ac:dyDescent="0.25">
      <c r="A10026" t="str">
        <f>T("   220850")</f>
        <v xml:space="preserve">   220850</v>
      </c>
      <c r="B10026" t="str">
        <f>T("   Gin et genièvre")</f>
        <v xml:space="preserve">   Gin et genièvre</v>
      </c>
      <c r="C10026">
        <v>75060</v>
      </c>
      <c r="D10026">
        <v>400</v>
      </c>
    </row>
    <row r="10027" spans="1:4" x14ac:dyDescent="0.25">
      <c r="A10027" t="str">
        <f>T("   220870")</f>
        <v xml:space="preserve">   220870</v>
      </c>
      <c r="B10027" t="str">
        <f>T("   LIQUEURS")</f>
        <v xml:space="preserve">   LIQUEURS</v>
      </c>
      <c r="C10027">
        <v>18091558</v>
      </c>
      <c r="D10027">
        <v>41370</v>
      </c>
    </row>
    <row r="10028" spans="1:4" x14ac:dyDescent="0.25">
      <c r="A10028" t="str">
        <f>T("   220890")</f>
        <v xml:space="preserve">   220890</v>
      </c>
      <c r="B10028" t="s">
        <v>61</v>
      </c>
      <c r="C10028">
        <v>7073839</v>
      </c>
      <c r="D10028">
        <v>28360</v>
      </c>
    </row>
    <row r="10029" spans="1:4" x14ac:dyDescent="0.25">
      <c r="A10029" t="str">
        <f>T("   220900")</f>
        <v xml:space="preserve">   220900</v>
      </c>
      <c r="B10029" t="str">
        <f>T("   Vinaigres comestibles et succédanés de vinaigre comestibles obtenus à partir d'acide acétique")</f>
        <v xml:space="preserve">   Vinaigres comestibles et succédanés de vinaigre comestibles obtenus à partir d'acide acétique</v>
      </c>
      <c r="C10029">
        <v>43220</v>
      </c>
      <c r="D10029">
        <v>400</v>
      </c>
    </row>
    <row r="10030" spans="1:4" x14ac:dyDescent="0.25">
      <c r="A10030" t="str">
        <f>T("   230120")</f>
        <v xml:space="preserve">   230120</v>
      </c>
      <c r="B10030" t="str">
        <f>T("   Farines, poudres et agglomérés sous forme de pellets, de poissons ou de crustacés, de mollusques ou d'autres invertébrés aquatiques, impropres à l'alimentation humaine")</f>
        <v xml:space="preserve">   Farines, poudres et agglomérés sous forme de pellets, de poissons ou de crustacés, de mollusques ou d'autres invertébrés aquatiques, impropres à l'alimentation humaine</v>
      </c>
      <c r="C10030">
        <v>3509999</v>
      </c>
      <c r="D10030">
        <v>45720</v>
      </c>
    </row>
    <row r="10031" spans="1:4" x14ac:dyDescent="0.25">
      <c r="A10031" t="str">
        <f>T("   230230")</f>
        <v xml:space="preserve">   230230</v>
      </c>
      <c r="B10031" t="str">
        <f>T("   Sons, remoulages et autres résidus, même agglomérés sous forme de pellets, du criblage, de la mouture ou d'autres traitements du froment")</f>
        <v xml:space="preserve">   Sons, remoulages et autres résidus, même agglomérés sous forme de pellets, du criblage, de la mouture ou d'autres traitements du froment</v>
      </c>
      <c r="C10031">
        <v>4357500</v>
      </c>
      <c r="D10031">
        <v>243680</v>
      </c>
    </row>
    <row r="10032" spans="1:4" x14ac:dyDescent="0.25">
      <c r="A10032" t="str">
        <f>T("   230240")</f>
        <v xml:space="preserve">   230240</v>
      </c>
      <c r="B10032" t="str">
        <f>T("   SONS, REMOULAGES ET AUTRES RÉSIDUS, MÊME AGGLOMÉRÉS SOUS FORME DE PELLETS, DU CRIBLAGE, DE LA MOUTURE OU D'AUTRES TRAITEMENTS DES CÉRÉALES (À L'EXCL. DU MAÏS OU DU FROMENT)")</f>
        <v xml:space="preserve">   SONS, REMOULAGES ET AUTRES RÉSIDUS, MÊME AGGLOMÉRÉS SOUS FORME DE PELLETS, DU CRIBLAGE, DE LA MOUTURE OU D'AUTRES TRAITEMENTS DES CÉRÉALES (À L'EXCL. DU MAÏS OU DU FROMENT)</v>
      </c>
      <c r="C10032">
        <v>23313946</v>
      </c>
      <c r="D10032">
        <v>303702</v>
      </c>
    </row>
    <row r="10033" spans="1:4" x14ac:dyDescent="0.25">
      <c r="A10033" t="str">
        <f>T("   230400")</f>
        <v xml:space="preserve">   230400</v>
      </c>
      <c r="B10033" t="str">
        <f>T("   Tourteaux et autres résidus solides, même broyés ou agglomérés sous forme de pellets, de l'extraction de l'huile de soja")</f>
        <v xml:space="preserve">   Tourteaux et autres résidus solides, même broyés ou agglomérés sous forme de pellets, de l'extraction de l'huile de soja</v>
      </c>
      <c r="C10033">
        <v>2250000</v>
      </c>
      <c r="D10033">
        <v>30000</v>
      </c>
    </row>
    <row r="10034" spans="1:4" x14ac:dyDescent="0.25">
      <c r="A10034" t="str">
        <f>T("   230910")</f>
        <v xml:space="preserve">   230910</v>
      </c>
      <c r="B10034" t="str">
        <f>T("   Aliments pour chiens ou chats, conditionnés pour la vente au détail")</f>
        <v xml:space="preserve">   Aliments pour chiens ou chats, conditionnés pour la vente au détail</v>
      </c>
      <c r="C10034">
        <v>2109163</v>
      </c>
      <c r="D10034">
        <v>7652</v>
      </c>
    </row>
    <row r="10035" spans="1:4" x14ac:dyDescent="0.25">
      <c r="A10035" t="str">
        <f>T("   240220")</f>
        <v xml:space="preserve">   240220</v>
      </c>
      <c r="B10035" t="str">
        <f>T("   Cigarettes contenant du tabac")</f>
        <v xml:space="preserve">   Cigarettes contenant du tabac</v>
      </c>
      <c r="C10035">
        <v>32397308</v>
      </c>
      <c r="D10035">
        <v>22478</v>
      </c>
    </row>
    <row r="10036" spans="1:4" x14ac:dyDescent="0.25">
      <c r="A10036" t="str">
        <f>T("   250100")</f>
        <v xml:space="preserve">   250100</v>
      </c>
      <c r="B10036" t="s">
        <v>63</v>
      </c>
      <c r="C10036">
        <v>1919142</v>
      </c>
      <c r="D10036">
        <v>35334</v>
      </c>
    </row>
    <row r="10037" spans="1:4" x14ac:dyDescent="0.25">
      <c r="A10037" t="str">
        <f>T("   250900")</f>
        <v xml:space="preserve">   250900</v>
      </c>
      <c r="B10037" t="str">
        <f>T("   Craie")</f>
        <v xml:space="preserve">   Craie</v>
      </c>
      <c r="C10037">
        <v>150000</v>
      </c>
      <c r="D10037">
        <v>3000</v>
      </c>
    </row>
    <row r="10038" spans="1:4" x14ac:dyDescent="0.25">
      <c r="A10038" t="str">
        <f>T("   251512")</f>
        <v xml:space="preserve">   251512</v>
      </c>
      <c r="B10038" t="str">
        <f>T("   MARBRES ET TRAVERTINS, SIMPL. DÉBITÉS, PAR SCIAGE OU AUTREMENT, EN BLOCS OU EN PLAQUES DE FORME CARRÉE OU RECTANGULAIRE")</f>
        <v xml:space="preserve">   MARBRES ET TRAVERTINS, SIMPL. DÉBITÉS, PAR SCIAGE OU AUTREMENT, EN BLOCS OU EN PLAQUES DE FORME CARRÉE OU RECTANGULAIRE</v>
      </c>
      <c r="C10038">
        <v>105541</v>
      </c>
      <c r="D10038">
        <v>620</v>
      </c>
    </row>
    <row r="10039" spans="1:4" x14ac:dyDescent="0.25">
      <c r="A10039" t="str">
        <f>T("   251611")</f>
        <v xml:space="preserve">   251611</v>
      </c>
      <c r="B10039" t="str">
        <f>T("   Granit, brut ou dégrossi (à l'excl. des pierres présentant le caractère de pavés, de bordures de trottoirs ou de dalles de pavage)")</f>
        <v xml:space="preserve">   Granit, brut ou dégrossi (à l'excl. des pierres présentant le caractère de pavés, de bordures de trottoirs ou de dalles de pavage)</v>
      </c>
      <c r="C10039">
        <v>448000</v>
      </c>
      <c r="D10039">
        <v>9000</v>
      </c>
    </row>
    <row r="10040" spans="1:4" x14ac:dyDescent="0.25">
      <c r="A10040" t="str">
        <f>T("   252010")</f>
        <v xml:space="preserve">   252010</v>
      </c>
      <c r="B10040" t="str">
        <f>T("   Gypse; anhydrite")</f>
        <v xml:space="preserve">   Gypse; anhydrite</v>
      </c>
      <c r="C10040">
        <v>1500000</v>
      </c>
      <c r="D10040">
        <v>24240</v>
      </c>
    </row>
    <row r="10041" spans="1:4" x14ac:dyDescent="0.25">
      <c r="A10041" t="str">
        <f>T("   252329")</f>
        <v xml:space="preserve">   252329</v>
      </c>
      <c r="B10041" t="str">
        <f>T("   Ciment Portland normal ou modéré (à l'excl. des ciments Portland blancs, même colorés artificiellement)")</f>
        <v xml:space="preserve">   Ciment Portland normal ou modéré (à l'excl. des ciments Portland blancs, même colorés artificiellement)</v>
      </c>
      <c r="C10041">
        <v>3189713000</v>
      </c>
      <c r="D10041">
        <v>52590320</v>
      </c>
    </row>
    <row r="10042" spans="1:4" x14ac:dyDescent="0.25">
      <c r="A10042" t="str">
        <f>T("   252390")</f>
        <v xml:space="preserve">   252390</v>
      </c>
      <c r="B10042" t="str">
        <f>T("   Ciments, même colorés (à l'excl. des ciments Portland et des ciments alumineux)")</f>
        <v xml:space="preserve">   Ciments, même colorés (à l'excl. des ciments Portland et des ciments alumineux)</v>
      </c>
      <c r="C10042">
        <v>259989</v>
      </c>
      <c r="D10042">
        <v>500</v>
      </c>
    </row>
    <row r="10043" spans="1:4" x14ac:dyDescent="0.25">
      <c r="A10043" t="str">
        <f>T("   271011")</f>
        <v xml:space="preserve">   271011</v>
      </c>
      <c r="B10043"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10043">
        <v>305562935</v>
      </c>
      <c r="D10043">
        <v>789475</v>
      </c>
    </row>
    <row r="10044" spans="1:4" x14ac:dyDescent="0.25">
      <c r="A10044" t="str">
        <f>T("   271019")</f>
        <v xml:space="preserve">   271019</v>
      </c>
      <c r="B10044" t="str">
        <f>T("   Huiles moyennes et préparations, de pétrole ou de minéraux bitumineux, n.d.a.")</f>
        <v xml:space="preserve">   Huiles moyennes et préparations, de pétrole ou de minéraux bitumineux, n.d.a.</v>
      </c>
      <c r="C10044">
        <v>713690904</v>
      </c>
      <c r="D10044">
        <v>1713540</v>
      </c>
    </row>
    <row r="10045" spans="1:4" x14ac:dyDescent="0.25">
      <c r="A10045" t="str">
        <f>T("   271113")</f>
        <v xml:space="preserve">   271113</v>
      </c>
      <c r="B10045" t="str">
        <f>T("   Butanes, liquéfiés (à l'excl. des butanes d'une pureté &gt;= 95% en n-butane ou en isobutane)")</f>
        <v xml:space="preserve">   Butanes, liquéfiés (à l'excl. des butanes d'une pureté &gt;= 95% en n-butane ou en isobutane)</v>
      </c>
      <c r="C10045">
        <v>4728960</v>
      </c>
      <c r="D10045">
        <v>12000</v>
      </c>
    </row>
    <row r="10046" spans="1:4" x14ac:dyDescent="0.25">
      <c r="A10046" t="str">
        <f>T("   271129")</f>
        <v xml:space="preserve">   271129</v>
      </c>
      <c r="B10046" t="str">
        <f>T("   Hydrocarbures à l'état gazeux, n.d.a. (à l'excl. du gaz naturel)")</f>
        <v xml:space="preserve">   Hydrocarbures à l'état gazeux, n.d.a. (à l'excl. du gaz naturel)</v>
      </c>
      <c r="C10046">
        <v>180000</v>
      </c>
      <c r="D10046">
        <v>360</v>
      </c>
    </row>
    <row r="10047" spans="1:4" x14ac:dyDescent="0.25">
      <c r="A10047" t="str">
        <f>T("   271320")</f>
        <v xml:space="preserve">   271320</v>
      </c>
      <c r="B10047" t="str">
        <f>T("   Bitume de pétrole")</f>
        <v xml:space="preserve">   Bitume de pétrole</v>
      </c>
      <c r="C10047">
        <v>107224127</v>
      </c>
      <c r="D10047">
        <v>351960</v>
      </c>
    </row>
    <row r="10048" spans="1:4" x14ac:dyDescent="0.25">
      <c r="A10048" t="str">
        <f>T("   271490")</f>
        <v xml:space="preserve">   271490</v>
      </c>
      <c r="B10048" t="str">
        <f>T("   Bitumes et asphaltes, naturels; asphaltites et roches asphaltiques")</f>
        <v xml:space="preserve">   Bitumes et asphaltes, naturels; asphaltites et roches asphaltiques</v>
      </c>
      <c r="C10048">
        <v>2000000</v>
      </c>
      <c r="D10048">
        <v>60000</v>
      </c>
    </row>
    <row r="10049" spans="1:4" x14ac:dyDescent="0.25">
      <c r="A10049" t="str">
        <f>T("   271600")</f>
        <v xml:space="preserve">   271600</v>
      </c>
      <c r="B10049" t="str">
        <f>T("   Energie électrique")</f>
        <v xml:space="preserve">   Energie électrique</v>
      </c>
      <c r="C10049">
        <v>56057994328</v>
      </c>
      <c r="D10049">
        <v>0</v>
      </c>
    </row>
    <row r="10050" spans="1:4" x14ac:dyDescent="0.25">
      <c r="A10050" t="str">
        <f>T("   280429")</f>
        <v xml:space="preserve">   280429</v>
      </c>
      <c r="B10050" t="str">
        <f>T("   Gaz rares (à l'excl. de l'argon)")</f>
        <v xml:space="preserve">   Gaz rares (à l'excl. de l'argon)</v>
      </c>
      <c r="C10050">
        <v>16120150</v>
      </c>
      <c r="D10050">
        <v>11607</v>
      </c>
    </row>
    <row r="10051" spans="1:4" x14ac:dyDescent="0.25">
      <c r="A10051" t="str">
        <f>T("   280430")</f>
        <v xml:space="preserve">   280430</v>
      </c>
      <c r="B10051" t="str">
        <f>T("   Azote")</f>
        <v xml:space="preserve">   Azote</v>
      </c>
      <c r="C10051">
        <v>2266360</v>
      </c>
      <c r="D10051">
        <v>1305</v>
      </c>
    </row>
    <row r="10052" spans="1:4" x14ac:dyDescent="0.25">
      <c r="A10052" t="str">
        <f>T("   280440")</f>
        <v xml:space="preserve">   280440</v>
      </c>
      <c r="B10052" t="str">
        <f>T("   Oxygène")</f>
        <v xml:space="preserve">   Oxygène</v>
      </c>
      <c r="C10052">
        <v>87148908</v>
      </c>
      <c r="D10052">
        <v>180930</v>
      </c>
    </row>
    <row r="10053" spans="1:4" x14ac:dyDescent="0.25">
      <c r="A10053" t="str">
        <f>T("   280610")</f>
        <v xml:space="preserve">   280610</v>
      </c>
      <c r="B10053" t="str">
        <f>T("   Chlorure d'hydrogène [acide chlorhydrique]")</f>
        <v xml:space="preserve">   Chlorure d'hydrogène [acide chlorhydrique]</v>
      </c>
      <c r="C10053">
        <v>1433556</v>
      </c>
      <c r="D10053">
        <v>6601</v>
      </c>
    </row>
    <row r="10054" spans="1:4" x14ac:dyDescent="0.25">
      <c r="A10054" t="str">
        <f>T("   281121")</f>
        <v xml:space="preserve">   281121</v>
      </c>
      <c r="B10054" t="str">
        <f>T("   DIOXYDE DE CARBONE")</f>
        <v xml:space="preserve">   DIOXYDE DE CARBONE</v>
      </c>
      <c r="C10054">
        <v>498180</v>
      </c>
      <c r="D10054">
        <v>722</v>
      </c>
    </row>
    <row r="10055" spans="1:4" x14ac:dyDescent="0.25">
      <c r="A10055" t="str">
        <f>T("   281290")</f>
        <v xml:space="preserve">   281290</v>
      </c>
      <c r="B10055" t="str">
        <f>T("   Halogénures et oxyhalogénures des éléments non métalliques (à l'excl. des chlorures et des oxychlorures)")</f>
        <v xml:space="preserve">   Halogénures et oxyhalogénures des éléments non métalliques (à l'excl. des chlorures et des oxychlorures)</v>
      </c>
      <c r="C10055">
        <v>741000</v>
      </c>
      <c r="D10055">
        <v>2550</v>
      </c>
    </row>
    <row r="10056" spans="1:4" x14ac:dyDescent="0.25">
      <c r="A10056" t="str">
        <f>T("   281511")</f>
        <v xml:space="preserve">   281511</v>
      </c>
      <c r="B10056" t="str">
        <f>T("   Hydroxyde de sodium [soude caustique], solide")</f>
        <v xml:space="preserve">   Hydroxyde de sodium [soude caustique], solide</v>
      </c>
      <c r="C10056">
        <v>107431</v>
      </c>
      <c r="D10056">
        <v>120</v>
      </c>
    </row>
    <row r="10057" spans="1:4" x14ac:dyDescent="0.25">
      <c r="A10057" t="str">
        <f>T("   281512")</f>
        <v xml:space="preserve">   281512</v>
      </c>
      <c r="B10057" t="str">
        <f>T("   Hydroxyde de sodium en solution aqueuse [lessive de soude caustique]")</f>
        <v xml:space="preserve">   Hydroxyde de sodium en solution aqueuse [lessive de soude caustique]</v>
      </c>
      <c r="C10057">
        <v>284200</v>
      </c>
      <c r="D10057">
        <v>2620</v>
      </c>
    </row>
    <row r="10058" spans="1:4" x14ac:dyDescent="0.25">
      <c r="A10058" t="str">
        <f>T("   282890")</f>
        <v xml:space="preserve">   282890</v>
      </c>
      <c r="B10058" t="str">
        <f>T("   Hypochlorites, chlorites et hypobromites (à l'excl. des hypochlorites de calcium)")</f>
        <v xml:space="preserve">   Hypochlorites, chlorites et hypobromites (à l'excl. des hypochlorites de calcium)</v>
      </c>
      <c r="C10058">
        <v>546125</v>
      </c>
      <c r="D10058">
        <v>5920</v>
      </c>
    </row>
    <row r="10059" spans="1:4" x14ac:dyDescent="0.25">
      <c r="A10059" t="str">
        <f>T("   283650")</f>
        <v xml:space="preserve">   283650</v>
      </c>
      <c r="B10059" t="str">
        <f>T("   Carbonate de calcium")</f>
        <v xml:space="preserve">   Carbonate de calcium</v>
      </c>
      <c r="C10059">
        <v>250000</v>
      </c>
      <c r="D10059">
        <v>5000</v>
      </c>
    </row>
    <row r="10060" spans="1:4" x14ac:dyDescent="0.25">
      <c r="A10060" t="str">
        <f>T("   283699")</f>
        <v xml:space="preserve">   283699</v>
      </c>
      <c r="B10060" t="s">
        <v>65</v>
      </c>
      <c r="C10060">
        <v>752014</v>
      </c>
      <c r="D10060">
        <v>3060</v>
      </c>
    </row>
    <row r="10061" spans="1:4" x14ac:dyDescent="0.25">
      <c r="A10061" t="str">
        <f>T("   284169")</f>
        <v xml:space="preserve">   284169</v>
      </c>
      <c r="B10061" t="str">
        <f>T("   Manganites, manganates et permanganates (à l'excl. du permanganate de potassium)")</f>
        <v xml:space="preserve">   Manganites, manganates et permanganates (à l'excl. du permanganate de potassium)</v>
      </c>
      <c r="C10061">
        <v>5000</v>
      </c>
      <c r="D10061">
        <v>25</v>
      </c>
    </row>
    <row r="10062" spans="1:4" x14ac:dyDescent="0.25">
      <c r="A10062" t="str">
        <f>T("   284910")</f>
        <v xml:space="preserve">   284910</v>
      </c>
      <c r="B10062" t="str">
        <f>T("   Carbure de calcium, de constitution chimique définie ou non")</f>
        <v xml:space="preserve">   Carbure de calcium, de constitution chimique définie ou non</v>
      </c>
      <c r="C10062">
        <v>5748254</v>
      </c>
      <c r="D10062">
        <v>48650</v>
      </c>
    </row>
    <row r="10063" spans="1:4" x14ac:dyDescent="0.25">
      <c r="A10063" t="str">
        <f>T("   284990")</f>
        <v xml:space="preserve">   284990</v>
      </c>
      <c r="B10063" t="str">
        <f>T("   Carbures, de constitution chimique définie ou non (à l'excl. des carbures de calcium et de silicium)")</f>
        <v xml:space="preserve">   Carbures, de constitution chimique définie ou non (à l'excl. des carbures de calcium et de silicium)</v>
      </c>
      <c r="C10063">
        <v>10210003</v>
      </c>
      <c r="D10063">
        <v>88382</v>
      </c>
    </row>
    <row r="10064" spans="1:4" x14ac:dyDescent="0.25">
      <c r="A10064" t="str">
        <f>T("   290129")</f>
        <v xml:space="preserve">   290129</v>
      </c>
      <c r="B10064" t="str">
        <f>T("   Hydrocarbures acycliques, non saturés (à l'excl. de l'éthylène, du propène [propylène], du butène [butylène] et ses isomères ainsi que du buta-1,3-diène et de l'isoprène)")</f>
        <v xml:space="preserve">   Hydrocarbures acycliques, non saturés (à l'excl. de l'éthylène, du propène [propylène], du butène [butylène] et ses isomères ainsi que du buta-1,3-diène et de l'isoprène)</v>
      </c>
      <c r="C10064">
        <v>35810</v>
      </c>
      <c r="D10064">
        <v>30</v>
      </c>
    </row>
    <row r="10065" spans="1:4" x14ac:dyDescent="0.25">
      <c r="A10065" t="str">
        <f>T("   290241")</f>
        <v xml:space="preserve">   290241</v>
      </c>
      <c r="B10065" t="str">
        <f>T("   o-Xylène")</f>
        <v xml:space="preserve">   o-Xylène</v>
      </c>
      <c r="C10065">
        <v>216000</v>
      </c>
      <c r="D10065">
        <v>720</v>
      </c>
    </row>
    <row r="10066" spans="1:4" x14ac:dyDescent="0.25">
      <c r="A10066" t="str">
        <f>T("   290329")</f>
        <v xml:space="preserve">   290329</v>
      </c>
      <c r="B10066" t="str">
        <f>T("   Dérivés chlorés non saturés des hydrocarbures acycliques (à l'excl. du chlorure de vinyle [chloroéthylène], du trichloroéthylène et du tétrachloroéthylène [perchloroéthylène])")</f>
        <v xml:space="preserve">   Dérivés chlorés non saturés des hydrocarbures acycliques (à l'excl. du chlorure de vinyle [chloroéthylène], du trichloroéthylène et du tétrachloroéthylène [perchloroéthylène])</v>
      </c>
      <c r="C10066">
        <v>419500</v>
      </c>
      <c r="D10066">
        <v>113</v>
      </c>
    </row>
    <row r="10067" spans="1:4" x14ac:dyDescent="0.25">
      <c r="A10067" t="str">
        <f>T("   290514")</f>
        <v xml:space="preserve">   290514</v>
      </c>
      <c r="B10067" t="str">
        <f>T("   Butanols (à l'excl. du butane-1-ol [alcool n-butylique])")</f>
        <v xml:space="preserve">   Butanols (à l'excl. du butane-1-ol [alcool n-butylique])</v>
      </c>
      <c r="C10067">
        <v>10900000</v>
      </c>
      <c r="D10067">
        <v>51020</v>
      </c>
    </row>
    <row r="10068" spans="1:4" x14ac:dyDescent="0.25">
      <c r="A10068" t="str">
        <f>T("   290545")</f>
        <v xml:space="preserve">   290545</v>
      </c>
      <c r="B10068" t="str">
        <f>T("   Glycérol")</f>
        <v xml:space="preserve">   Glycérol</v>
      </c>
      <c r="C10068">
        <v>777275</v>
      </c>
      <c r="D10068">
        <v>2000</v>
      </c>
    </row>
    <row r="10069" spans="1:4" x14ac:dyDescent="0.25">
      <c r="A10069" t="str">
        <f>T("   291521")</f>
        <v xml:space="preserve">   291521</v>
      </c>
      <c r="B10069" t="str">
        <f>T("   Acide acétique")</f>
        <v xml:space="preserve">   Acide acétique</v>
      </c>
      <c r="C10069">
        <v>19500</v>
      </c>
      <c r="D10069">
        <v>20</v>
      </c>
    </row>
    <row r="10070" spans="1:4" x14ac:dyDescent="0.25">
      <c r="A10070" t="str">
        <f>T("   291529")</f>
        <v xml:space="preserve">   291529</v>
      </c>
      <c r="B10070" t="str">
        <f>T("   Sels de l'acide acétique (à l'excl. des acétates de sodium et de cobalt)")</f>
        <v xml:space="preserve">   Sels de l'acide acétique (à l'excl. des acétates de sodium et de cobalt)</v>
      </c>
      <c r="C10070">
        <v>537153</v>
      </c>
      <c r="D10070">
        <v>3220</v>
      </c>
    </row>
    <row r="10071" spans="1:4" x14ac:dyDescent="0.25">
      <c r="A10071" t="str">
        <f>T("   292242")</f>
        <v xml:space="preserve">   292242</v>
      </c>
      <c r="B10071" t="str">
        <f>T("   Acide glutamique et ses sels")</f>
        <v xml:space="preserve">   Acide glutamique et ses sels</v>
      </c>
      <c r="C10071">
        <v>537153</v>
      </c>
      <c r="D10071">
        <v>400</v>
      </c>
    </row>
    <row r="10072" spans="1:4" x14ac:dyDescent="0.25">
      <c r="A10072" t="str">
        <f>T("   292690")</f>
        <v xml:space="preserve">   292690</v>
      </c>
      <c r="B10072" t="str">
        <f>T("   Composés à fonction nitrile (à l'excl. de l'acrylonitrile, de la 1-cyanoguanidine [dicyandiamide], du fenproporex [DCI] et ses sels, et du méthadone [DCI]-intermédiaire [4-cyano-2-diméthylamino-4,4-diphénylbutane])")</f>
        <v xml:space="preserve">   Composés à fonction nitrile (à l'excl. de l'acrylonitrile, de la 1-cyanoguanidine [dicyandiamide], du fenproporex [DCI] et ses sels, et du méthadone [DCI]-intermédiaire [4-cyano-2-diméthylamino-4,4-diphénylbutane])</v>
      </c>
      <c r="C10072">
        <v>4800</v>
      </c>
      <c r="D10072">
        <v>10</v>
      </c>
    </row>
    <row r="10073" spans="1:4" x14ac:dyDescent="0.25">
      <c r="A10073" t="str">
        <f>T("   300420")</f>
        <v xml:space="preserve">   300420</v>
      </c>
      <c r="B10073" t="s">
        <v>77</v>
      </c>
      <c r="C10073">
        <v>122043250</v>
      </c>
      <c r="D10073">
        <v>61925</v>
      </c>
    </row>
    <row r="10074" spans="1:4" x14ac:dyDescent="0.25">
      <c r="A10074" t="str">
        <f>T("   300439")</f>
        <v xml:space="preserve">   300439</v>
      </c>
      <c r="B10074" t="s">
        <v>78</v>
      </c>
      <c r="C10074">
        <v>56835789</v>
      </c>
      <c r="D10074">
        <v>1230</v>
      </c>
    </row>
    <row r="10075" spans="1:4" x14ac:dyDescent="0.25">
      <c r="A10075" t="str">
        <f>T("   300490")</f>
        <v xml:space="preserve">   300490</v>
      </c>
      <c r="B10075" t="s">
        <v>80</v>
      </c>
      <c r="C10075">
        <v>64202550</v>
      </c>
      <c r="D10075">
        <v>50632</v>
      </c>
    </row>
    <row r="10076" spans="1:4" x14ac:dyDescent="0.25">
      <c r="A10076" t="str">
        <f>T("   300590")</f>
        <v xml:space="preserve">   300590</v>
      </c>
      <c r="B10076" t="s">
        <v>81</v>
      </c>
      <c r="C10076">
        <v>5919000</v>
      </c>
      <c r="D10076">
        <v>1187</v>
      </c>
    </row>
    <row r="10077" spans="1:4" x14ac:dyDescent="0.25">
      <c r="A10077" t="str">
        <f>T("   310520")</f>
        <v xml:space="preserve">   310520</v>
      </c>
      <c r="B10077" t="str">
        <f>T("   Engrais minéraux ou chimiques contenant les trois éléments fertilisants : azote, phosphore et potassium (à l'excl. des produits présentés soit en tablettes ou formes simil., soit en emballages d'un poids brut &lt;= 10 kg)")</f>
        <v xml:space="preserve">   Engrais minéraux ou chimiques contenant les trois éléments fertilisants : azote, phosphore et potassium (à l'excl. des produits présentés soit en tablettes ou formes simil., soit en emballages d'un poids brut &lt;= 10 kg)</v>
      </c>
      <c r="C10077">
        <v>1009133</v>
      </c>
      <c r="D10077">
        <v>14940</v>
      </c>
    </row>
    <row r="10078" spans="1:4" x14ac:dyDescent="0.25">
      <c r="A10078" t="str">
        <f>T("   320419")</f>
        <v xml:space="preserve">   320419</v>
      </c>
      <c r="B10078" t="s">
        <v>91</v>
      </c>
      <c r="C10078">
        <v>39345</v>
      </c>
      <c r="D10078">
        <v>50</v>
      </c>
    </row>
    <row r="10079" spans="1:4" x14ac:dyDescent="0.25">
      <c r="A10079" t="str">
        <f>T("   320820")</f>
        <v xml:space="preserve">   320820</v>
      </c>
      <c r="B10079" t="s">
        <v>96</v>
      </c>
      <c r="C10079">
        <v>23153287</v>
      </c>
      <c r="D10079">
        <v>51725</v>
      </c>
    </row>
    <row r="10080" spans="1:4" x14ac:dyDescent="0.25">
      <c r="A10080" t="str">
        <f>T("   320890")</f>
        <v xml:space="preserve">   320890</v>
      </c>
      <c r="B10080" t="s">
        <v>97</v>
      </c>
      <c r="C10080">
        <v>6042450</v>
      </c>
      <c r="D10080">
        <v>19390</v>
      </c>
    </row>
    <row r="10081" spans="1:4" x14ac:dyDescent="0.25">
      <c r="A10081" t="str">
        <f>T("   320910")</f>
        <v xml:space="preserve">   320910</v>
      </c>
      <c r="B10081" t="str">
        <f>T("   Peintures et vernis à base de polymères acryliques ou vinyliques, dispersés ou dissous dans un milieu aqueux")</f>
        <v xml:space="preserve">   Peintures et vernis à base de polymères acryliques ou vinyliques, dispersés ou dissous dans un milieu aqueux</v>
      </c>
      <c r="C10081">
        <v>3930977</v>
      </c>
      <c r="D10081">
        <v>18526</v>
      </c>
    </row>
    <row r="10082" spans="1:4" x14ac:dyDescent="0.25">
      <c r="A10082" t="str">
        <f>T("   321410")</f>
        <v xml:space="preserve">   321410</v>
      </c>
      <c r="B10082" t="str">
        <f>T("   Mastic de vitrier, ciments de résine et autres mastics; enduits utilisés en peinture")</f>
        <v xml:space="preserve">   Mastic de vitrier, ciments de résine et autres mastics; enduits utilisés en peinture</v>
      </c>
      <c r="C10082">
        <v>295203</v>
      </c>
      <c r="D10082">
        <v>2400</v>
      </c>
    </row>
    <row r="10083" spans="1:4" x14ac:dyDescent="0.25">
      <c r="A10083" t="str">
        <f>T("   321511")</f>
        <v xml:space="preserve">   321511</v>
      </c>
      <c r="B10083" t="str">
        <f>T("   Encres d'imprimerie, noires, même concentrées ou sous formes solides")</f>
        <v xml:space="preserve">   Encres d'imprimerie, noires, même concentrées ou sous formes solides</v>
      </c>
      <c r="C10083">
        <v>2921255</v>
      </c>
      <c r="D10083">
        <v>736</v>
      </c>
    </row>
    <row r="10084" spans="1:4" x14ac:dyDescent="0.25">
      <c r="A10084" t="str">
        <f>T("   330190")</f>
        <v xml:space="preserve">   330190</v>
      </c>
      <c r="B10084" t="s">
        <v>99</v>
      </c>
      <c r="C10084">
        <v>2068028</v>
      </c>
      <c r="D10084">
        <v>4385</v>
      </c>
    </row>
    <row r="10085" spans="1:4" x14ac:dyDescent="0.25">
      <c r="A10085" t="str">
        <f>T("   330410")</f>
        <v xml:space="preserve">   330410</v>
      </c>
      <c r="B10085" t="str">
        <f>T("   Produits de maquillage pour les lèvres")</f>
        <v xml:space="preserve">   Produits de maquillage pour les lèvres</v>
      </c>
      <c r="C10085">
        <v>186720</v>
      </c>
      <c r="D10085">
        <v>500</v>
      </c>
    </row>
    <row r="10086" spans="1:4" x14ac:dyDescent="0.25">
      <c r="A10086" t="str">
        <f>T("   330491")</f>
        <v xml:space="preserve">   330491</v>
      </c>
      <c r="B10086" t="str">
        <f>T("   Poudres pour le maquillage ou l'entretien ou les soins de la peau, y.c. les poudres pour bébés et les poudres compactes (à l'excl. des médicaments)")</f>
        <v xml:space="preserve">   Poudres pour le maquillage ou l'entretien ou les soins de la peau, y.c. les poudres pour bébés et les poudres compactes (à l'excl. des médicaments)</v>
      </c>
      <c r="C10086">
        <v>18672</v>
      </c>
      <c r="D10086">
        <v>90</v>
      </c>
    </row>
    <row r="10087" spans="1:4" x14ac:dyDescent="0.25">
      <c r="A10087" t="str">
        <f>T("   330499")</f>
        <v xml:space="preserve">   330499</v>
      </c>
      <c r="B10087" t="s">
        <v>101</v>
      </c>
      <c r="C10087">
        <v>90577526</v>
      </c>
      <c r="D10087">
        <v>376796</v>
      </c>
    </row>
    <row r="10088" spans="1:4" x14ac:dyDescent="0.25">
      <c r="A10088" t="str">
        <f>T("   330520")</f>
        <v xml:space="preserve">   330520</v>
      </c>
      <c r="B10088" t="str">
        <f>T("   Préparations pour l'ondulation ou le défrisage permanents")</f>
        <v xml:space="preserve">   Préparations pour l'ondulation ou le défrisage permanents</v>
      </c>
      <c r="C10088">
        <v>1493552</v>
      </c>
      <c r="D10088">
        <v>6320</v>
      </c>
    </row>
    <row r="10089" spans="1:4" x14ac:dyDescent="0.25">
      <c r="A10089" t="str">
        <f>T("   330610")</f>
        <v xml:space="preserve">   330610</v>
      </c>
      <c r="B10089" t="str">
        <f>T("   Dentifrices, préparés, même des types utilisés par les dentistes")</f>
        <v xml:space="preserve">   Dentifrices, préparés, même des types utilisés par les dentistes</v>
      </c>
      <c r="C10089">
        <v>5083139</v>
      </c>
      <c r="D10089">
        <v>32991</v>
      </c>
    </row>
    <row r="10090" spans="1:4" x14ac:dyDescent="0.25">
      <c r="A10090" t="str">
        <f>T("   330620")</f>
        <v xml:space="preserve">   330620</v>
      </c>
      <c r="B10090" t="str">
        <f>T("   Fils utilisés pour nettoyer les espaces intermédiaires [fils dentaires], en emballages individuels de détail")</f>
        <v xml:space="preserve">   Fils utilisés pour nettoyer les espaces intermédiaires [fils dentaires], en emballages individuels de détail</v>
      </c>
      <c r="C10090">
        <v>80880</v>
      </c>
      <c r="D10090">
        <v>160</v>
      </c>
    </row>
    <row r="10091" spans="1:4" x14ac:dyDescent="0.25">
      <c r="A10091" t="str">
        <f>T("   330720")</f>
        <v xml:space="preserve">   330720</v>
      </c>
      <c r="B10091" t="str">
        <f>T("   Désodorisants corporels et antisudoraux, préparés")</f>
        <v xml:space="preserve">   Désodorisants corporels et antisudoraux, préparés</v>
      </c>
      <c r="C10091">
        <v>1894959</v>
      </c>
      <c r="D10091">
        <v>9390</v>
      </c>
    </row>
    <row r="10092" spans="1:4" x14ac:dyDescent="0.25">
      <c r="A10092" t="str">
        <f>T("   330790")</f>
        <v xml:space="preserve">   330790</v>
      </c>
      <c r="B10092" t="str">
        <f>T("   Dépilatoires, autres produits de parfumerie ou de toilette préparés et autres préparations cosmétiques, n.d.a.")</f>
        <v xml:space="preserve">   Dépilatoires, autres produits de parfumerie ou de toilette préparés et autres préparations cosmétiques, n.d.a.</v>
      </c>
      <c r="C10092">
        <v>18671</v>
      </c>
      <c r="D10092">
        <v>120</v>
      </c>
    </row>
    <row r="10093" spans="1:4" x14ac:dyDescent="0.25">
      <c r="A10093" t="str">
        <f>T("   340111")</f>
        <v xml:space="preserve">   340111</v>
      </c>
      <c r="B10093" t="s">
        <v>102</v>
      </c>
      <c r="C10093">
        <v>18763562</v>
      </c>
      <c r="D10093">
        <v>124960</v>
      </c>
    </row>
    <row r="10094" spans="1:4" x14ac:dyDescent="0.25">
      <c r="A10094" t="str">
        <f>T("   340119")</f>
        <v xml:space="preserve">   340119</v>
      </c>
      <c r="B10094" t="s">
        <v>103</v>
      </c>
      <c r="C10094">
        <v>112471275</v>
      </c>
      <c r="D10094">
        <v>665044</v>
      </c>
    </row>
    <row r="10095" spans="1:4" x14ac:dyDescent="0.25">
      <c r="A10095" t="str">
        <f>T("   340120")</f>
        <v xml:space="preserve">   340120</v>
      </c>
      <c r="B10095" t="str">
        <f>T("   Savons en flocons, en paillettes, en granulés ou en poudres et savons liquides ou pâteux")</f>
        <v xml:space="preserve">   Savons en flocons, en paillettes, en granulés ou en poudres et savons liquides ou pâteux</v>
      </c>
      <c r="C10095">
        <v>5527690</v>
      </c>
      <c r="D10095">
        <v>18357</v>
      </c>
    </row>
    <row r="10096" spans="1:4" x14ac:dyDescent="0.25">
      <c r="A10096" t="str">
        <f>T("   340130")</f>
        <v xml:space="preserve">   340130</v>
      </c>
      <c r="B10096" t="str">
        <f>T("   Produits et préparations organiques tensio-actifs destinés au lavage de la peau, sous forme de liquide ou de crème, conditionnés pour la vente au détail, même contenant  du savon")</f>
        <v xml:space="preserve">   Produits et préparations organiques tensio-actifs destinés au lavage de la peau, sous forme de liquide ou de crème, conditionnés pour la vente au détail, même contenant  du savon</v>
      </c>
      <c r="C10096">
        <v>2742935</v>
      </c>
      <c r="D10096">
        <v>27410</v>
      </c>
    </row>
    <row r="10097" spans="1:4" x14ac:dyDescent="0.25">
      <c r="A10097" t="str">
        <f>T("   340220")</f>
        <v xml:space="preserve">   340220</v>
      </c>
      <c r="B10097" t="s">
        <v>104</v>
      </c>
      <c r="C10097">
        <v>32808222</v>
      </c>
      <c r="D10097">
        <v>268840</v>
      </c>
    </row>
    <row r="10098" spans="1:4" x14ac:dyDescent="0.25">
      <c r="A10098" t="str">
        <f>T("   340290")</f>
        <v xml:space="preserve">   340290</v>
      </c>
      <c r="B10098" t="s">
        <v>105</v>
      </c>
      <c r="C10098">
        <v>5231734</v>
      </c>
      <c r="D10098">
        <v>33080</v>
      </c>
    </row>
    <row r="10099" spans="1:4" x14ac:dyDescent="0.25">
      <c r="A10099" t="str">
        <f>T("   340590")</f>
        <v xml:space="preserve">   340590</v>
      </c>
      <c r="B10099" t="str">
        <f>T("   Brillants pour verre ou métaux, même sous forme de papier, ouates, feutres, nontissés, matière plastique ou caoutchouc alvéolaires, imprégnés, enduits ou recouverts de ces préparations")</f>
        <v xml:space="preserve">   Brillants pour verre ou métaux, même sous forme de papier, ouates, feutres, nontissés, matière plastique ou caoutchouc alvéolaires, imprégnés, enduits ou recouverts de ces préparations</v>
      </c>
      <c r="C10099">
        <v>540249</v>
      </c>
      <c r="D10099">
        <v>620</v>
      </c>
    </row>
    <row r="10100" spans="1:4" x14ac:dyDescent="0.25">
      <c r="A10100" t="str">
        <f>T("   340600")</f>
        <v xml:space="preserve">   340600</v>
      </c>
      <c r="B10100" t="str">
        <f>T("   Bougies, chandelles, cierges et articles simil.")</f>
        <v xml:space="preserve">   Bougies, chandelles, cierges et articles simil.</v>
      </c>
      <c r="C10100">
        <v>928687</v>
      </c>
      <c r="D10100">
        <v>3615</v>
      </c>
    </row>
    <row r="10101" spans="1:4" x14ac:dyDescent="0.25">
      <c r="A10101" t="str">
        <f>T("   350699")</f>
        <v xml:space="preserve">   350699</v>
      </c>
      <c r="B10101" t="str">
        <f>T("   Colles et autres adhésifs préparés, n.d.a.")</f>
        <v xml:space="preserve">   Colles et autres adhésifs préparés, n.d.a.</v>
      </c>
      <c r="C10101">
        <v>150101</v>
      </c>
      <c r="D10101">
        <v>770</v>
      </c>
    </row>
    <row r="10102" spans="1:4" x14ac:dyDescent="0.25">
      <c r="A10102" t="str">
        <f>T("   350790")</f>
        <v xml:space="preserve">   350790</v>
      </c>
      <c r="B10102" t="str">
        <f>T("   Enzymes et enzymes préparées, n.d.a. (à l'excl. de la présure et de ses concentrats)")</f>
        <v xml:space="preserve">   Enzymes et enzymes préparées, n.d.a. (à l'excl. de la présure et de ses concentrats)</v>
      </c>
      <c r="C10102">
        <v>28240</v>
      </c>
      <c r="D10102">
        <v>8</v>
      </c>
    </row>
    <row r="10103" spans="1:4" x14ac:dyDescent="0.25">
      <c r="A10103" t="str">
        <f>T("   360500")</f>
        <v xml:space="preserve">   360500</v>
      </c>
      <c r="B10103" t="str">
        <f>T("   Allumettes (autres que les articles de pyrotechnie du n° 3604)")</f>
        <v xml:space="preserve">   Allumettes (autres que les articles de pyrotechnie du n° 3604)</v>
      </c>
      <c r="C10103">
        <v>21846</v>
      </c>
      <c r="D10103">
        <v>9</v>
      </c>
    </row>
    <row r="10104" spans="1:4" x14ac:dyDescent="0.25">
      <c r="A10104" t="str">
        <f>T("   370254")</f>
        <v xml:space="preserve">   370254</v>
      </c>
      <c r="B10104" t="s">
        <v>117</v>
      </c>
      <c r="C10104">
        <v>4696887</v>
      </c>
      <c r="D10104">
        <v>16960</v>
      </c>
    </row>
    <row r="10105" spans="1:4" x14ac:dyDescent="0.25">
      <c r="A10105" t="str">
        <f>T("   370256")</f>
        <v xml:space="preserve">   370256</v>
      </c>
      <c r="B10105" t="str">
        <f>T("   Pellicules photographiques sensibilisées, non impressionnées, perforées, en rouleaux, d'une largeur &gt; 35 mm, pour la photographie en couleurs [polychrome] (à l'excl. des produits en papier, en carton ou en matières textiles)")</f>
        <v xml:space="preserve">   Pellicules photographiques sensibilisées, non impressionnées, perforées, en rouleaux, d'une largeur &gt; 35 mm, pour la photographie en couleurs [polychrome] (à l'excl. des produits en papier, en carton ou en matières textiles)</v>
      </c>
      <c r="C10105">
        <v>296004</v>
      </c>
      <c r="D10105">
        <v>1500</v>
      </c>
    </row>
    <row r="10106" spans="1:4" x14ac:dyDescent="0.25">
      <c r="A10106" t="str">
        <f>T("   370310")</f>
        <v xml:space="preserve">   370310</v>
      </c>
      <c r="B10106" t="str">
        <f>T("   Papiers, cartons et textiles, photographiques, sensibilisés, non impressionnés, en rouleaux, d'une largeur &gt; 610 mm")</f>
        <v xml:space="preserve">   Papiers, cartons et textiles, photographiques, sensibilisés, non impressionnés, en rouleaux, d'une largeur &gt; 610 mm</v>
      </c>
      <c r="C10106">
        <v>1007804</v>
      </c>
      <c r="D10106">
        <v>7880</v>
      </c>
    </row>
    <row r="10107" spans="1:4" x14ac:dyDescent="0.25">
      <c r="A10107" t="str">
        <f>T("   370320")</f>
        <v xml:space="preserve">   370320</v>
      </c>
      <c r="B10107" t="str">
        <f>T("   PAPIERS, CARTONS ET TEXTILES, PHOTOGRAPHIQUES, SENSIBILISÉS, NON-IMPRESSIONNÉS, POUR LA PHOTOGRAPHIE EN COULEURS [POLYCHROME] (À L'EXCL. DES PRODUITS EN ROULEAUX D'UNE LARGEUR &gt; 610 MM)")</f>
        <v xml:space="preserve">   PAPIERS, CARTONS ET TEXTILES, PHOTOGRAPHIQUES, SENSIBILISÉS, NON-IMPRESSIONNÉS, POUR LA PHOTOGRAPHIE EN COULEURS [POLYCHROME] (À L'EXCL. DES PRODUITS EN ROULEAUX D'UNE LARGEUR &gt; 610 MM)</v>
      </c>
      <c r="C10107">
        <v>546140</v>
      </c>
      <c r="D10107">
        <v>2500</v>
      </c>
    </row>
    <row r="10108" spans="1:4" x14ac:dyDescent="0.25">
      <c r="A10108" t="str">
        <f>T("   370390")</f>
        <v xml:space="preserve">   370390</v>
      </c>
      <c r="B10108" t="str">
        <f>T("   PAPIERS, CARTONS ET TEXTILES, PHOTOGRAPHIQUES, SENSIBILISÉS, NON-IMPRESSIONNÉS, POUR LA PHOTOGRAPHIE EN MONOCHROME (À L'EXCL. DES PRODUITS EN ROULEAUX D'UNE LARGEUR &gt; 610 MM)")</f>
        <v xml:space="preserve">   PAPIERS, CARTONS ET TEXTILES, PHOTOGRAPHIQUES, SENSIBILISÉS, NON-IMPRESSIONNÉS, POUR LA PHOTOGRAPHIE EN MONOCHROME (À L'EXCL. DES PRODUITS EN ROULEAUX D'UNE LARGEUR &gt; 610 MM)</v>
      </c>
      <c r="C10108">
        <v>5978428</v>
      </c>
      <c r="D10108">
        <v>20982</v>
      </c>
    </row>
    <row r="10109" spans="1:4" x14ac:dyDescent="0.25">
      <c r="A10109" t="str">
        <f>T("   370400")</f>
        <v xml:space="preserve">   370400</v>
      </c>
      <c r="B10109" t="str">
        <f>T("   PLAQUES, PELLICULES, FILMS, PAPIERS, CARTONS ET TEXTILES, PHOTOGRAPHIQUES, IMPRESSIONNÉS MAIS NON-DÉVELOPPÉS")</f>
        <v xml:space="preserve">   PLAQUES, PELLICULES, FILMS, PAPIERS, CARTONS ET TEXTILES, PHOTOGRAPHIQUES, IMPRESSIONNÉS MAIS NON-DÉVELOPPÉS</v>
      </c>
      <c r="C10109">
        <v>1684308</v>
      </c>
      <c r="D10109">
        <v>6280</v>
      </c>
    </row>
    <row r="10110" spans="1:4" x14ac:dyDescent="0.25">
      <c r="A10110" t="str">
        <f>T("   370790")</f>
        <v xml:space="preserve">   370790</v>
      </c>
      <c r="B10110" t="s">
        <v>118</v>
      </c>
      <c r="C10110">
        <v>2327690</v>
      </c>
      <c r="D10110">
        <v>9998</v>
      </c>
    </row>
    <row r="10111" spans="1:4" x14ac:dyDescent="0.25">
      <c r="A10111" t="str">
        <f>T("   380700")</f>
        <v xml:space="preserve">   380700</v>
      </c>
      <c r="B10111" t="str">
        <f>T("   Goudrons de bois; huiles de goudron de bois; créosote de bois; méthylène; poix végétales; poix de brasserie et préparations simil. à base de colophanes, d'acides résiniques ou de poix végétales")</f>
        <v xml:space="preserve">   Goudrons de bois; huiles de goudron de bois; créosote de bois; méthylène; poix végétales; poix de brasserie et préparations simil. à base de colophanes, d'acides résiniques ou de poix végétales</v>
      </c>
      <c r="C10111">
        <v>727273</v>
      </c>
      <c r="D10111">
        <v>480</v>
      </c>
    </row>
    <row r="10112" spans="1:4" x14ac:dyDescent="0.25">
      <c r="A10112" t="str">
        <f>T("   380810")</f>
        <v xml:space="preserve">   380810</v>
      </c>
      <c r="B10112" t="str">
        <f>T("   Insecticides présentés dans des formes ou emballages de vente au détail ou à l'état de préparations ou sous forme d'articles")</f>
        <v xml:space="preserve">   Insecticides présentés dans des formes ou emballages de vente au détail ou à l'état de préparations ou sous forme d'articles</v>
      </c>
      <c r="C10112">
        <v>1165842</v>
      </c>
      <c r="D10112">
        <v>3368</v>
      </c>
    </row>
    <row r="10113" spans="1:4" x14ac:dyDescent="0.25">
      <c r="A10113" t="str">
        <f>T("   380820")</f>
        <v xml:space="preserve">   380820</v>
      </c>
      <c r="B10113" t="str">
        <f>T("   Fongicides présentés dans des formes ou emballages de vente au détail ou à l'état de préparations ou sous forme d'articles")</f>
        <v xml:space="preserve">   Fongicides présentés dans des formes ou emballages de vente au détail ou à l'état de préparations ou sous forme d'articles</v>
      </c>
      <c r="C10113">
        <v>2184695</v>
      </c>
      <c r="D10113">
        <v>83600</v>
      </c>
    </row>
    <row r="10114" spans="1:4" x14ac:dyDescent="0.25">
      <c r="A10114" t="str">
        <f>T("   380830")</f>
        <v xml:space="preserve">   380830</v>
      </c>
      <c r="B10114" t="str">
        <f>T("   Herbicides, inhibiteurs de germination et régulateurs de croissance pour plantes, présentés dans des formes ou emballages de vente au détail ou à l'état de préparations ou sous forme d'articles")</f>
        <v xml:space="preserve">   Herbicides, inhibiteurs de germination et régulateurs de croissance pour plantes, présentés dans des formes ou emballages de vente au détail ou à l'état de préparations ou sous forme d'articles</v>
      </c>
      <c r="C10114">
        <v>10277194</v>
      </c>
      <c r="D10114">
        <v>389789</v>
      </c>
    </row>
    <row r="10115" spans="1:4" x14ac:dyDescent="0.25">
      <c r="A10115" t="str">
        <f>T("   380840")</f>
        <v xml:space="preserve">   380840</v>
      </c>
      <c r="B10115" t="str">
        <f>T("   Désinfectants et produits simil., présentés dans des formes ou emballages de vente au détail ou à l'état de préparations ou sous forme d'articles")</f>
        <v xml:space="preserve">   Désinfectants et produits simil., présentés dans des formes ou emballages de vente au détail ou à l'état de préparations ou sous forme d'articles</v>
      </c>
      <c r="C10115">
        <v>140721</v>
      </c>
      <c r="D10115">
        <v>106</v>
      </c>
    </row>
    <row r="10116" spans="1:4" x14ac:dyDescent="0.25">
      <c r="A10116" t="str">
        <f>T("   380890")</f>
        <v xml:space="preserve">   380890</v>
      </c>
      <c r="B10116" t="str">
        <f>T("   Antirongeurs et autres produits phytosanitaires, présentés dans des formes ou emballages de vente au détail ou à l'état de préparations ou sous forme d'articles (à l'excl. des insecticides, des fongicides, des herbicides et des désinfectants)")</f>
        <v xml:space="preserve">   Antirongeurs et autres produits phytosanitaires, présentés dans des formes ou emballages de vente au détail ou à l'état de préparations ou sous forme d'articles (à l'excl. des insecticides, des fongicides, des herbicides et des désinfectants)</v>
      </c>
      <c r="C10116">
        <v>590684</v>
      </c>
      <c r="D10116">
        <v>1445</v>
      </c>
    </row>
    <row r="10117" spans="1:4" x14ac:dyDescent="0.25">
      <c r="A10117" t="str">
        <f>T("   381090")</f>
        <v xml:space="preserve">   381090</v>
      </c>
      <c r="B10117" t="s">
        <v>123</v>
      </c>
      <c r="C10117">
        <v>4500000</v>
      </c>
      <c r="D10117">
        <v>59600</v>
      </c>
    </row>
    <row r="10118" spans="1:4" x14ac:dyDescent="0.25">
      <c r="A10118" t="str">
        <f>T("   381400")</f>
        <v xml:space="preserve">   381400</v>
      </c>
      <c r="B10118" t="str">
        <f>T("   Solvants et diluants organiques composites, n.d.a.; préparations conçues pour enlever les peintures ou les vernis (à l'excl. des dissolvants pour vernis à ongles)")</f>
        <v xml:space="preserve">   Solvants et diluants organiques composites, n.d.a.; préparations conçues pour enlever les peintures ou les vernis (à l'excl. des dissolvants pour vernis à ongles)</v>
      </c>
      <c r="C10118">
        <v>5600000</v>
      </c>
      <c r="D10118">
        <v>27220</v>
      </c>
    </row>
    <row r="10119" spans="1:4" x14ac:dyDescent="0.25">
      <c r="A10119" t="str">
        <f>T("   382440")</f>
        <v xml:space="preserve">   382440</v>
      </c>
      <c r="B10119" t="str">
        <f>T("   Additifs préparés pour ciments, mortiers ou bétons")</f>
        <v xml:space="preserve">   Additifs préparés pour ciments, mortiers ou bétons</v>
      </c>
      <c r="C10119">
        <v>1742000</v>
      </c>
      <c r="D10119">
        <v>2250</v>
      </c>
    </row>
    <row r="10120" spans="1:4" x14ac:dyDescent="0.25">
      <c r="A10120" t="str">
        <f>T("   390110")</f>
        <v xml:space="preserve">   390110</v>
      </c>
      <c r="B10120" t="str">
        <f>T("   Polyéthylène d'une densité &lt; 0,94, sous formes primaires")</f>
        <v xml:space="preserve">   Polyéthylène d'une densité &lt; 0,94, sous formes primaires</v>
      </c>
      <c r="C10120">
        <v>28371426</v>
      </c>
      <c r="D10120">
        <v>46650</v>
      </c>
    </row>
    <row r="10121" spans="1:4" x14ac:dyDescent="0.25">
      <c r="A10121" t="str">
        <f>T("   390120")</f>
        <v xml:space="preserve">   390120</v>
      </c>
      <c r="B10121" t="str">
        <f>T("   Polyéthylène d'une densité &gt;= 0,94, sous formes primaires")</f>
        <v xml:space="preserve">   Polyéthylène d'une densité &gt;= 0,94, sous formes primaires</v>
      </c>
      <c r="C10121">
        <v>16262702</v>
      </c>
      <c r="D10121">
        <v>31200</v>
      </c>
    </row>
    <row r="10122" spans="1:4" x14ac:dyDescent="0.25">
      <c r="A10122" t="str">
        <f>T("   390319")</f>
        <v xml:space="preserve">   390319</v>
      </c>
      <c r="B10122" t="str">
        <f>T("   Polystyrène sous formes primaires (à l'excl. du polystyrène expansible)")</f>
        <v xml:space="preserve">   Polystyrène sous formes primaires (à l'excl. du polystyrène expansible)</v>
      </c>
      <c r="C10122">
        <v>3031964</v>
      </c>
      <c r="D10122">
        <v>6380</v>
      </c>
    </row>
    <row r="10123" spans="1:4" x14ac:dyDescent="0.25">
      <c r="A10123" t="str">
        <f>T("   390410")</f>
        <v xml:space="preserve">   390410</v>
      </c>
      <c r="B10123" t="str">
        <f>T("   Poly[chlorure de vinyle], sous formes primaires, non mélangé à d'autres substances")</f>
        <v xml:space="preserve">   Poly[chlorure de vinyle], sous formes primaires, non mélangé à d'autres substances</v>
      </c>
      <c r="C10123">
        <v>30653240</v>
      </c>
      <c r="D10123">
        <v>64475</v>
      </c>
    </row>
    <row r="10124" spans="1:4" x14ac:dyDescent="0.25">
      <c r="A10124" t="str">
        <f>T("   390521")</f>
        <v xml:space="preserve">   390521</v>
      </c>
      <c r="B10124" t="str">
        <f>T("   Copolymères d'acétate de vinyle, en dispersion aqueuse")</f>
        <v xml:space="preserve">   Copolymères d'acétate de vinyle, en dispersion aqueuse</v>
      </c>
      <c r="C10124">
        <v>800000</v>
      </c>
      <c r="D10124">
        <v>4000</v>
      </c>
    </row>
    <row r="10125" spans="1:4" x14ac:dyDescent="0.25">
      <c r="A10125" t="str">
        <f>T("   390529")</f>
        <v xml:space="preserve">   390529</v>
      </c>
      <c r="B10125" t="str">
        <f>T("   Copolymères d'acétate de vinyle, sous formes primaires (à l'excl. des produits en dispersion aqueuse)")</f>
        <v xml:space="preserve">   Copolymères d'acétate de vinyle, sous formes primaires (à l'excl. des produits en dispersion aqueuse)</v>
      </c>
      <c r="C10125">
        <v>1200000</v>
      </c>
      <c r="D10125">
        <v>4060</v>
      </c>
    </row>
    <row r="10126" spans="1:4" x14ac:dyDescent="0.25">
      <c r="A10126" t="str">
        <f>T("   390720")</f>
        <v xml:space="preserve">   390720</v>
      </c>
      <c r="B10126" t="str">
        <f>T("   Polyéthers, sous formes primaires (à l'excl. des polyacétals)")</f>
        <v xml:space="preserve">   Polyéthers, sous formes primaires (à l'excl. des polyacétals)</v>
      </c>
      <c r="C10126">
        <v>9280931</v>
      </c>
      <c r="D10126">
        <v>14200</v>
      </c>
    </row>
    <row r="10127" spans="1:4" x14ac:dyDescent="0.25">
      <c r="A10127" t="str">
        <f>T("   390750")</f>
        <v xml:space="preserve">   390750</v>
      </c>
      <c r="B10127" t="str">
        <f>T("   Résines alkydes, sous formes primaires")</f>
        <v xml:space="preserve">   Résines alkydes, sous formes primaires</v>
      </c>
      <c r="C10127">
        <v>950000</v>
      </c>
      <c r="D10127">
        <v>3200</v>
      </c>
    </row>
    <row r="10128" spans="1:4" x14ac:dyDescent="0.25">
      <c r="A10128" t="str">
        <f>T("   391723")</f>
        <v xml:space="preserve">   391723</v>
      </c>
      <c r="B10128" t="str">
        <f>T("   TUBES ET TUYAUX RIGIDES, EN POLYMÈRES DU CHLORURE DE VINYLE")</f>
        <v xml:space="preserve">   TUBES ET TUYAUX RIGIDES, EN POLYMÈRES DU CHLORURE DE VINYLE</v>
      </c>
      <c r="C10128">
        <v>116261171</v>
      </c>
      <c r="D10128">
        <v>229783</v>
      </c>
    </row>
    <row r="10129" spans="1:4" x14ac:dyDescent="0.25">
      <c r="A10129" t="str">
        <f>T("   391739")</f>
        <v xml:space="preserve">   391739</v>
      </c>
      <c r="B10129" t="str">
        <f>T("   TUBES ET TUYAUX SOUPLES, EN MATIÈRES PLASTIQUES, RENFORCÉS D'AUTRES MATIÈRES OU ASSOCIÉS À D'AUTRES MATIÈRES (À L'EXCL. DES PRODUITS POUVANT SUPPORTER UNE PRESSION &gt;= 27,6 MPA)")</f>
        <v xml:space="preserve">   TUBES ET TUYAUX SOUPLES, EN MATIÈRES PLASTIQUES, RENFORCÉS D'AUTRES MATIÈRES OU ASSOCIÉS À D'AUTRES MATIÈRES (À L'EXCL. DES PRODUITS POUVANT SUPPORTER UNE PRESSION &gt;= 27,6 MPA)</v>
      </c>
      <c r="C10129">
        <v>57000</v>
      </c>
      <c r="D10129">
        <v>120</v>
      </c>
    </row>
    <row r="10130" spans="1:4" x14ac:dyDescent="0.25">
      <c r="A10130" t="str">
        <f>T("   391740")</f>
        <v xml:space="preserve">   391740</v>
      </c>
      <c r="B10130" t="str">
        <f>T("   Accessoires pour tubes ou tuyaux [joints, coudes, raccords, par exemple], en matières plastiques")</f>
        <v xml:space="preserve">   Accessoires pour tubes ou tuyaux [joints, coudes, raccords, par exemple], en matières plastiques</v>
      </c>
      <c r="C10130">
        <v>18535423</v>
      </c>
      <c r="D10130">
        <v>24727</v>
      </c>
    </row>
    <row r="10131" spans="1:4" x14ac:dyDescent="0.25">
      <c r="A10131" t="str">
        <f>T("   391890")</f>
        <v xml:space="preserve">   391890</v>
      </c>
      <c r="B10131" t="s">
        <v>132</v>
      </c>
      <c r="C10131">
        <v>4000000</v>
      </c>
      <c r="D10131">
        <v>28600</v>
      </c>
    </row>
    <row r="10132" spans="1:4" x14ac:dyDescent="0.25">
      <c r="A10132" t="str">
        <f>T("   391990")</f>
        <v xml:space="preserve">   391990</v>
      </c>
      <c r="B10132" t="s">
        <v>133</v>
      </c>
      <c r="C10132">
        <v>2783932</v>
      </c>
      <c r="D10132">
        <v>7136</v>
      </c>
    </row>
    <row r="10133" spans="1:4" x14ac:dyDescent="0.25">
      <c r="A10133" t="str">
        <f>T("   392042")</f>
        <v xml:space="preserve">   392042</v>
      </c>
      <c r="B10133" t="s">
        <v>136</v>
      </c>
      <c r="C10133">
        <v>43636</v>
      </c>
      <c r="D10133">
        <v>420</v>
      </c>
    </row>
    <row r="10134" spans="1:4" x14ac:dyDescent="0.25">
      <c r="A10134" t="str">
        <f>T("   392062")</f>
        <v xml:space="preserve">   392062</v>
      </c>
      <c r="B10134" t="s">
        <v>140</v>
      </c>
      <c r="C10134">
        <v>2599274</v>
      </c>
      <c r="D10134">
        <v>8080</v>
      </c>
    </row>
    <row r="10135" spans="1:4" x14ac:dyDescent="0.25">
      <c r="A10135" t="str">
        <f>T("   392112")</f>
        <v xml:space="preserve">   392112</v>
      </c>
      <c r="B10135" t="s">
        <v>146</v>
      </c>
      <c r="C10135">
        <v>2309202</v>
      </c>
      <c r="D10135">
        <v>3158</v>
      </c>
    </row>
    <row r="10136" spans="1:4" x14ac:dyDescent="0.25">
      <c r="A10136" t="str">
        <f>T("   392210")</f>
        <v xml:space="preserve">   392210</v>
      </c>
      <c r="B10136" t="str">
        <f>T("   Baignoires, douches, éviers et lavabos, en matières plastiques")</f>
        <v xml:space="preserve">   Baignoires, douches, éviers et lavabos, en matières plastiques</v>
      </c>
      <c r="C10136">
        <v>40000</v>
      </c>
      <c r="D10136">
        <v>20</v>
      </c>
    </row>
    <row r="10137" spans="1:4" x14ac:dyDescent="0.25">
      <c r="A10137" t="str">
        <f>T("   392290")</f>
        <v xml:space="preserve">   392290</v>
      </c>
      <c r="B10137" t="str">
        <f>T("   Bidets, cuvettes d'aisance, réservoirs de chasse et articles simil. pour usages sanitaires ou hygiéniques, en matières plastiques (à l'excl. des baignoires, des douches, d'éviers, des lavabos ainsi que des sièges et couvercles de cuvettes d'aisance)")</f>
        <v xml:space="preserve">   Bidets, cuvettes d'aisance, réservoirs de chasse et articles simil. pour usages sanitaires ou hygiéniques, en matières plastiques (à l'excl. des baignoires, des douches, d'éviers, des lavabos ainsi que des sièges et couvercles de cuvettes d'aisance)</v>
      </c>
      <c r="C10137">
        <v>444025</v>
      </c>
      <c r="D10137">
        <v>710</v>
      </c>
    </row>
    <row r="10138" spans="1:4" x14ac:dyDescent="0.25">
      <c r="A10138" t="str">
        <f>T("   392310")</f>
        <v xml:space="preserve">   392310</v>
      </c>
      <c r="B10138" t="str">
        <f>T("   Boîtes, caisses, casiers et articles simil. pour le transport ou l'emballage, en matières plastiques")</f>
        <v xml:space="preserve">   Boîtes, caisses, casiers et articles simil. pour le transport ou l'emballage, en matières plastiques</v>
      </c>
      <c r="C10138">
        <v>671442506</v>
      </c>
      <c r="D10138">
        <v>789147</v>
      </c>
    </row>
    <row r="10139" spans="1:4" x14ac:dyDescent="0.25">
      <c r="A10139" t="str">
        <f>T("   392321")</f>
        <v xml:space="preserve">   392321</v>
      </c>
      <c r="B10139" t="str">
        <f>T("   Sacs, sachets, pochettes et cornets, en polymères de l'éthylène")</f>
        <v xml:space="preserve">   Sacs, sachets, pochettes et cornets, en polymères de l'éthylène</v>
      </c>
      <c r="C10139">
        <v>184006592</v>
      </c>
      <c r="D10139">
        <v>711930</v>
      </c>
    </row>
    <row r="10140" spans="1:4" x14ac:dyDescent="0.25">
      <c r="A10140" t="str">
        <f>T("   392329")</f>
        <v xml:space="preserve">   392329</v>
      </c>
      <c r="B10140" t="str">
        <f>T("   Sacs, sachets, pochettes et cornets, en matières plastiques (autres que les polymères de l'éthylène)")</f>
        <v xml:space="preserve">   Sacs, sachets, pochettes et cornets, en matières plastiques (autres que les polymères de l'éthylène)</v>
      </c>
      <c r="C10140">
        <v>341418721</v>
      </c>
      <c r="D10140">
        <v>3159682</v>
      </c>
    </row>
    <row r="10141" spans="1:4" x14ac:dyDescent="0.25">
      <c r="A10141" t="str">
        <f>T("   392330")</f>
        <v xml:space="preserve">   392330</v>
      </c>
      <c r="B10141" t="str">
        <f>T("   Bonbonnes, bouteilles, flacons et articles simil. pour le transport ou l'emballage, en matières plastiques")</f>
        <v xml:space="preserve">   Bonbonnes, bouteilles, flacons et articles simil. pour le transport ou l'emballage, en matières plastiques</v>
      </c>
      <c r="C10141">
        <v>75069075</v>
      </c>
      <c r="D10141">
        <v>56955</v>
      </c>
    </row>
    <row r="10142" spans="1:4" x14ac:dyDescent="0.25">
      <c r="A10142" t="str">
        <f>T("   392410")</f>
        <v xml:space="preserve">   392410</v>
      </c>
      <c r="B10142" t="str">
        <f>T("   Vaisselle et autres articles pour le service de la table ou de la cuisine, en matières plastiques")</f>
        <v xml:space="preserve">   Vaisselle et autres articles pour le service de la table ou de la cuisine, en matières plastiques</v>
      </c>
      <c r="C10142">
        <v>16852552</v>
      </c>
      <c r="D10142">
        <v>46241</v>
      </c>
    </row>
    <row r="10143" spans="1:4" x14ac:dyDescent="0.25">
      <c r="A10143" t="str">
        <f>T("   392490")</f>
        <v xml:space="preserve">   392490</v>
      </c>
      <c r="B10143" t="s">
        <v>151</v>
      </c>
      <c r="C10143">
        <v>4483291</v>
      </c>
      <c r="D10143">
        <v>1702</v>
      </c>
    </row>
    <row r="10144" spans="1:4" x14ac:dyDescent="0.25">
      <c r="A10144" t="str">
        <f>T("   392590")</f>
        <v xml:space="preserve">   392590</v>
      </c>
      <c r="B10144" t="s">
        <v>152</v>
      </c>
      <c r="C10144">
        <v>7639674</v>
      </c>
      <c r="D10144">
        <v>4906</v>
      </c>
    </row>
    <row r="10145" spans="1:4" x14ac:dyDescent="0.25">
      <c r="A10145" t="str">
        <f>T("   392610")</f>
        <v xml:space="preserve">   392610</v>
      </c>
      <c r="B10145" t="str">
        <f>T("   Articles de bureau et articles scolaires, en matières plastiques, n.d.a.")</f>
        <v xml:space="preserve">   Articles de bureau et articles scolaires, en matières plastiques, n.d.a.</v>
      </c>
      <c r="C10145">
        <v>1339817</v>
      </c>
      <c r="D10145">
        <v>6530</v>
      </c>
    </row>
    <row r="10146" spans="1:4" x14ac:dyDescent="0.25">
      <c r="A10146" t="str">
        <f>T("   392630")</f>
        <v xml:space="preserve">   392630</v>
      </c>
      <c r="B10146" t="str">
        <f>T("   Garnitures pour meubles, carrosseries ou simil., en matières plastiques (à l'excl. des articles d'équipement pour la construction destinés à être fixés à demeure sur des parties de bâtiments)")</f>
        <v xml:space="preserve">   Garnitures pour meubles, carrosseries ou simil., en matières plastiques (à l'excl. des articles d'équipement pour la construction destinés à être fixés à demeure sur des parties de bâtiments)</v>
      </c>
      <c r="C10146">
        <v>1950894</v>
      </c>
      <c r="D10146">
        <v>8210</v>
      </c>
    </row>
    <row r="10147" spans="1:4" x14ac:dyDescent="0.25">
      <c r="A10147" t="str">
        <f>T("   392690")</f>
        <v xml:space="preserve">   392690</v>
      </c>
      <c r="B10147" t="str">
        <f>T("   Ouvrages en matières plastiques et ouvrages en autres matières du n° 3901 à 3914, n.d.a.")</f>
        <v xml:space="preserve">   Ouvrages en matières plastiques et ouvrages en autres matières du n° 3901 à 3914, n.d.a.</v>
      </c>
      <c r="C10147">
        <v>79009030</v>
      </c>
      <c r="D10147">
        <v>293043</v>
      </c>
    </row>
    <row r="10148" spans="1:4" x14ac:dyDescent="0.25">
      <c r="A10148" t="str">
        <f>T("   400829")</f>
        <v xml:space="preserve">   400829</v>
      </c>
      <c r="B10148" t="str">
        <f>T("   Baguettes et profilés, en caoutchouc non alvéolaire non durci")</f>
        <v xml:space="preserve">   Baguettes et profilés, en caoutchouc non alvéolaire non durci</v>
      </c>
      <c r="C10148">
        <v>145455</v>
      </c>
      <c r="D10148">
        <v>150</v>
      </c>
    </row>
    <row r="10149" spans="1:4" x14ac:dyDescent="0.25">
      <c r="A10149" t="str">
        <f>T("   400931")</f>
        <v xml:space="preserve">   400931</v>
      </c>
      <c r="B10149" t="str">
        <f>T("   Tubes et tuyaux en caoutchouc vulcanisé non durci, renforcés seulement à l'aide de matières textiles ou autrement associés seulement à des matières textiles, sans accessoires")</f>
        <v xml:space="preserve">   Tubes et tuyaux en caoutchouc vulcanisé non durci, renforcés seulement à l'aide de matières textiles ou autrement associés seulement à des matières textiles, sans accessoires</v>
      </c>
      <c r="C10149">
        <v>9000</v>
      </c>
      <c r="D10149">
        <v>20</v>
      </c>
    </row>
    <row r="10150" spans="1:4" x14ac:dyDescent="0.25">
      <c r="A10150" t="str">
        <f>T("   401110")</f>
        <v xml:space="preserve">   401110</v>
      </c>
      <c r="B10150"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10150">
        <v>585000</v>
      </c>
      <c r="D10150">
        <v>100</v>
      </c>
    </row>
    <row r="10151" spans="1:4" x14ac:dyDescent="0.25">
      <c r="A10151" t="str">
        <f>T("   401140")</f>
        <v xml:space="preserve">   401140</v>
      </c>
      <c r="B10151" t="str">
        <f>T("   Pneumatiques neufs, en caoutchouc, des types utilisés pour les motocycles")</f>
        <v xml:space="preserve">   Pneumatiques neufs, en caoutchouc, des types utilisés pour les motocycles</v>
      </c>
      <c r="C10151">
        <v>1559181</v>
      </c>
      <c r="D10151">
        <v>4490</v>
      </c>
    </row>
    <row r="10152" spans="1:4" x14ac:dyDescent="0.25">
      <c r="A10152" t="str">
        <f>T("   401150")</f>
        <v xml:space="preserve">   401150</v>
      </c>
      <c r="B10152" t="str">
        <f>T("   Pneumatiques neufs, en caoutchouc, des types utilisés pour les bicyclettes")</f>
        <v xml:space="preserve">   Pneumatiques neufs, en caoutchouc, des types utilisés pour les bicyclettes</v>
      </c>
      <c r="C10152">
        <v>1409511</v>
      </c>
      <c r="D10152">
        <v>1124</v>
      </c>
    </row>
    <row r="10153" spans="1:4" x14ac:dyDescent="0.25">
      <c r="A10153" t="str">
        <f>T("   401220")</f>
        <v xml:space="preserve">   401220</v>
      </c>
      <c r="B10153" t="str">
        <f>T("   Pneumatiques usagés, en caoutchouc")</f>
        <v xml:space="preserve">   Pneumatiques usagés, en caoutchouc</v>
      </c>
      <c r="C10153">
        <v>42615843</v>
      </c>
      <c r="D10153">
        <v>185955</v>
      </c>
    </row>
    <row r="10154" spans="1:4" x14ac:dyDescent="0.25">
      <c r="A10154" t="str">
        <f>T("   401310")</f>
        <v xml:space="preserve">   401310</v>
      </c>
      <c r="B10154" t="str">
        <f>T("   Chambres à air, en caoutchouc, des types utilisés pour les voitures de tourisme [y.c. les voitures du type 'break' et les voitures de course], les autobus ou les camions")</f>
        <v xml:space="preserve">   Chambres à air, en caoutchouc, des types utilisés pour les voitures de tourisme [y.c. les voitures du type 'break' et les voitures de course], les autobus ou les camions</v>
      </c>
      <c r="C10154">
        <v>625130</v>
      </c>
      <c r="D10154">
        <v>2338</v>
      </c>
    </row>
    <row r="10155" spans="1:4" x14ac:dyDescent="0.25">
      <c r="A10155" t="str">
        <f>T("   401320")</f>
        <v xml:space="preserve">   401320</v>
      </c>
      <c r="B10155" t="str">
        <f>T("   Chambres à air, en caoutchouc, des types utilisés pour les bicyclettes")</f>
        <v xml:space="preserve">   Chambres à air, en caoutchouc, des types utilisés pour les bicyclettes</v>
      </c>
      <c r="C10155">
        <v>1012908</v>
      </c>
      <c r="D10155">
        <v>600</v>
      </c>
    </row>
    <row r="10156" spans="1:4" x14ac:dyDescent="0.25">
      <c r="A10156" t="str">
        <f>T("   401390")</f>
        <v xml:space="preserve">   401390</v>
      </c>
      <c r="B10156" t="str">
        <f>T("   Chambres à air, en caoutchouc (à l'excl. des chambres à air des types utilisés pour les voitures de tourisme, les voitures du type 'break', les voitures de course, les autobus, les camions et les bicyclettes)")</f>
        <v xml:space="preserve">   Chambres à air, en caoutchouc (à l'excl. des chambres à air des types utilisés pour les voitures de tourisme, les voitures du type 'break', les voitures de course, les autobus, les camions et les bicyclettes)</v>
      </c>
      <c r="C10156">
        <v>390160</v>
      </c>
      <c r="D10156">
        <v>1075</v>
      </c>
    </row>
    <row r="10157" spans="1:4" x14ac:dyDescent="0.25">
      <c r="A10157" t="str">
        <f>T("   401490")</f>
        <v xml:space="preserve">   401490</v>
      </c>
      <c r="B10157" t="str">
        <f>T("   ARTICLES D'HYGIÈNE OU DE PHARMACIE, Y.C. LES TÉTINES, EN CAOUTCHOUC VULCANISÉ NON-DURCI, MÊME AVEC PARTIES EN CAOUTCHOUC DURCI, N.D.A. (À L'EXCL. DES PRÉSERVATIFS AINSI QUE DES VÊTEMENTS ET ACCESSOIRES DU VÊTEMENT, Y.C. LES GANTS, POUR TOUS USAGES)")</f>
        <v xml:space="preserve">   ARTICLES D'HYGIÈNE OU DE PHARMACIE, Y.C. LES TÉTINES, EN CAOUTCHOUC VULCANISÉ NON-DURCI, MÊME AVEC PARTIES EN CAOUTCHOUC DURCI, N.D.A. (À L'EXCL. DES PRÉSERVATIFS AINSI QUE DES VÊTEMENTS ET ACCESSOIRES DU VÊTEMENT, Y.C. LES GANTS, POUR TOUS USAGES)</v>
      </c>
      <c r="C10157">
        <v>458366</v>
      </c>
      <c r="D10157">
        <v>1380</v>
      </c>
    </row>
    <row r="10158" spans="1:4" x14ac:dyDescent="0.25">
      <c r="A10158" t="str">
        <f>T("   401699")</f>
        <v xml:space="preserve">   401699</v>
      </c>
      <c r="B10158" t="str">
        <f>T("   OUVRAGES EN CAOUTCHOUC VULCANISÉ NON-DURCI, N.D.A.")</f>
        <v xml:space="preserve">   OUVRAGES EN CAOUTCHOUC VULCANISÉ NON-DURCI, N.D.A.</v>
      </c>
      <c r="C10158">
        <v>141479</v>
      </c>
      <c r="D10158">
        <v>850</v>
      </c>
    </row>
    <row r="10159" spans="1:4" x14ac:dyDescent="0.25">
      <c r="A10159" t="str">
        <f>T("   420212")</f>
        <v xml:space="preserve">   420212</v>
      </c>
      <c r="B10159" t="str">
        <f>T("   Malles, valises et mallettes, y.c. les mallettes de toilette et les mallettes porte-documents, serviettes, cartables et contenants simil., à surface extérieure en matières plastiques ou en matières textiles")</f>
        <v xml:space="preserve">   Malles, valises et mallettes, y.c. les mallettes de toilette et les mallettes porte-documents, serviettes, cartables et contenants simil., à surface extérieure en matières plastiques ou en matières textiles</v>
      </c>
      <c r="C10159">
        <v>2389896</v>
      </c>
      <c r="D10159">
        <v>3510</v>
      </c>
    </row>
    <row r="10160" spans="1:4" x14ac:dyDescent="0.25">
      <c r="A10160" t="str">
        <f>T("   420219")</f>
        <v xml:space="preserve">   420219</v>
      </c>
      <c r="B10160" t="s">
        <v>162</v>
      </c>
      <c r="C10160">
        <v>4649723</v>
      </c>
      <c r="D10160">
        <v>8415</v>
      </c>
    </row>
    <row r="10161" spans="1:4" x14ac:dyDescent="0.25">
      <c r="A10161" t="str">
        <f>T("   420221")</f>
        <v xml:space="preserve">   420221</v>
      </c>
      <c r="B10161" t="str">
        <f>T("   Sacs à main, même à bandoulière, y.c. ceux sans poignée, à surface extérieure en cuir naturel, en cuir reconstitué ou en cuir verni")</f>
        <v xml:space="preserve">   Sacs à main, même à bandoulière, y.c. ceux sans poignée, à surface extérieure en cuir naturel, en cuir reconstitué ou en cuir verni</v>
      </c>
      <c r="C10161">
        <v>764610</v>
      </c>
      <c r="D10161">
        <v>1910</v>
      </c>
    </row>
    <row r="10162" spans="1:4" x14ac:dyDescent="0.25">
      <c r="A10162" t="str">
        <f>T("   420222")</f>
        <v xml:space="preserve">   420222</v>
      </c>
      <c r="B10162" t="str">
        <f>T("   Sacs à main, même à bandoulière, y.c. ceux sans poignée, à surface extérieure en feuilles de matières plastiques ou en matières textiles")</f>
        <v xml:space="preserve">   Sacs à main, même à bandoulière, y.c. ceux sans poignée, à surface extérieure en feuilles de matières plastiques ou en matières textiles</v>
      </c>
      <c r="C10162">
        <v>36039581</v>
      </c>
      <c r="D10162">
        <v>198157</v>
      </c>
    </row>
    <row r="10163" spans="1:4" x14ac:dyDescent="0.25">
      <c r="A10163" t="str">
        <f>T("   420229")</f>
        <v xml:space="preserve">   420229</v>
      </c>
      <c r="B10163"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10163">
        <v>56923639</v>
      </c>
      <c r="D10163">
        <v>198171</v>
      </c>
    </row>
    <row r="10164" spans="1:4" x14ac:dyDescent="0.25">
      <c r="A10164" t="str">
        <f>T("   420232")</f>
        <v xml:space="preserve">   420232</v>
      </c>
      <c r="B10164" t="str">
        <f>T("   Portefeuilles, porte-monnaie, étuis à clés ou à cigarettes, blagues à tabac et articles simil. de poche ou de sac à main, à surface extérieure en feuilles de matières plastiques ou en matières textiles")</f>
        <v xml:space="preserve">   Portefeuilles, porte-monnaie, étuis à clés ou à cigarettes, blagues à tabac et articles simil. de poche ou de sac à main, à surface extérieure en feuilles de matières plastiques ou en matières textiles</v>
      </c>
      <c r="C10164">
        <v>728334</v>
      </c>
      <c r="D10164">
        <v>4330</v>
      </c>
    </row>
    <row r="10165" spans="1:4" x14ac:dyDescent="0.25">
      <c r="A10165" t="str">
        <f>T("   420239")</f>
        <v xml:space="preserve">   420239</v>
      </c>
      <c r="B10165" t="s">
        <v>163</v>
      </c>
      <c r="C10165">
        <v>5109230</v>
      </c>
      <c r="D10165">
        <v>43640</v>
      </c>
    </row>
    <row r="10166" spans="1:4" x14ac:dyDescent="0.25">
      <c r="A10166" t="str">
        <f>T("   420291")</f>
        <v xml:space="preserve">   420291</v>
      </c>
      <c r="B10166" t="s">
        <v>164</v>
      </c>
      <c r="C10166">
        <v>727480</v>
      </c>
      <c r="D10166">
        <v>37004</v>
      </c>
    </row>
    <row r="10167" spans="1:4" x14ac:dyDescent="0.25">
      <c r="A10167" t="str">
        <f>T("   420292")</f>
        <v xml:space="preserve">   420292</v>
      </c>
      <c r="B10167" t="s">
        <v>164</v>
      </c>
      <c r="C10167">
        <v>107609222</v>
      </c>
      <c r="D10167">
        <v>599445</v>
      </c>
    </row>
    <row r="10168" spans="1:4" x14ac:dyDescent="0.25">
      <c r="A10168" t="str">
        <f>T("   420299")</f>
        <v xml:space="preserve">   420299</v>
      </c>
      <c r="B10168" t="s">
        <v>165</v>
      </c>
      <c r="C10168">
        <v>4905022</v>
      </c>
      <c r="D10168">
        <v>15727</v>
      </c>
    </row>
    <row r="10169" spans="1:4" x14ac:dyDescent="0.25">
      <c r="A10169" t="str">
        <f>T("   440130")</f>
        <v xml:space="preserve">   440130</v>
      </c>
      <c r="B10169" t="str">
        <f>T("   Sciures, déchets et débris de bois, même agglomérés sous forme de bûches, briquettes, boulettes ou sous formes simil.")</f>
        <v xml:space="preserve">   Sciures, déchets et débris de bois, même agglomérés sous forme de bûches, briquettes, boulettes ou sous formes simil.</v>
      </c>
      <c r="C10169">
        <v>4500000</v>
      </c>
      <c r="D10169">
        <v>95720</v>
      </c>
    </row>
    <row r="10170" spans="1:4" x14ac:dyDescent="0.25">
      <c r="A10170" t="str">
        <f>T("   440729")</f>
        <v xml:space="preserve">   440729</v>
      </c>
      <c r="B10170" t="s">
        <v>170</v>
      </c>
      <c r="C10170">
        <v>1463109</v>
      </c>
      <c r="D10170">
        <v>16080</v>
      </c>
    </row>
    <row r="10171" spans="1:4" x14ac:dyDescent="0.25">
      <c r="A10171" t="str">
        <f>T("   440890")</f>
        <v xml:space="preserve">   440890</v>
      </c>
      <c r="B10171" t="s">
        <v>172</v>
      </c>
      <c r="C10171">
        <v>91489107</v>
      </c>
      <c r="D10171">
        <v>374056</v>
      </c>
    </row>
    <row r="10172" spans="1:4" x14ac:dyDescent="0.25">
      <c r="A10172" t="str">
        <f>T("   441039")</f>
        <v xml:space="preserve">   441039</v>
      </c>
      <c r="B10172" t="s">
        <v>174</v>
      </c>
      <c r="C10172">
        <v>1359745</v>
      </c>
      <c r="D10172">
        <v>1180</v>
      </c>
    </row>
    <row r="10173" spans="1:4" x14ac:dyDescent="0.25">
      <c r="A10173" t="str">
        <f>T("   441090")</f>
        <v xml:space="preserve">   441090</v>
      </c>
      <c r="B10173" t="s">
        <v>175</v>
      </c>
      <c r="C10173">
        <v>73801</v>
      </c>
      <c r="D10173">
        <v>500</v>
      </c>
    </row>
    <row r="10174" spans="1:4" x14ac:dyDescent="0.25">
      <c r="A10174" t="str">
        <f>T("   441119")</f>
        <v xml:space="preserve">   441119</v>
      </c>
      <c r="B10174" t="s">
        <v>177</v>
      </c>
      <c r="C10174">
        <v>25000</v>
      </c>
      <c r="D10174">
        <v>70</v>
      </c>
    </row>
    <row r="10175" spans="1:4" x14ac:dyDescent="0.25">
      <c r="A10175" t="str">
        <f>T("   441213")</f>
        <v xml:space="preserve">   441213</v>
      </c>
      <c r="B10175" t="s">
        <v>182</v>
      </c>
      <c r="C10175">
        <v>29228079</v>
      </c>
      <c r="D10175">
        <v>141508</v>
      </c>
    </row>
    <row r="10176" spans="1:4" x14ac:dyDescent="0.25">
      <c r="A10176" t="str">
        <f>T("   441219")</f>
        <v xml:space="preserve">   441219</v>
      </c>
      <c r="B10176" t="s">
        <v>183</v>
      </c>
      <c r="C10176">
        <v>27458593</v>
      </c>
      <c r="D10176">
        <v>60770</v>
      </c>
    </row>
    <row r="10177" spans="1:4" x14ac:dyDescent="0.25">
      <c r="A10177" t="str">
        <f>T("   441229")</f>
        <v xml:space="preserve">   441229</v>
      </c>
      <c r="B10177" t="s">
        <v>185</v>
      </c>
      <c r="C10177">
        <v>1028007</v>
      </c>
      <c r="D10177">
        <v>6310</v>
      </c>
    </row>
    <row r="10178" spans="1:4" x14ac:dyDescent="0.25">
      <c r="A10178" t="str">
        <f>T("   441300")</f>
        <v xml:space="preserve">   441300</v>
      </c>
      <c r="B10178" t="str">
        <f>T("   Bois dits 'densifiés', en blocs, planches, lames ou profilés")</f>
        <v xml:space="preserve">   Bois dits 'densifiés', en blocs, planches, lames ou profilés</v>
      </c>
      <c r="C10178">
        <v>2495000</v>
      </c>
      <c r="D10178">
        <v>44920</v>
      </c>
    </row>
    <row r="10179" spans="1:4" x14ac:dyDescent="0.25">
      <c r="A10179" t="str">
        <f>T("   441600")</f>
        <v xml:space="preserve">   441600</v>
      </c>
      <c r="B10179" t="str">
        <f>T("   Futailles, cuves, baquets et autres ouvrages de tonnellerie et leurs parties reconnaissables, en bois, y.c. les merrains")</f>
        <v xml:space="preserve">   Futailles, cuves, baquets et autres ouvrages de tonnellerie et leurs parties reconnaissables, en bois, y.c. les merrains</v>
      </c>
      <c r="C10179">
        <v>20000</v>
      </c>
      <c r="D10179">
        <v>50</v>
      </c>
    </row>
    <row r="10180" spans="1:4" x14ac:dyDescent="0.25">
      <c r="A10180" t="str">
        <f>T("   442010")</f>
        <v xml:space="preserve">   442010</v>
      </c>
      <c r="B10180" t="str">
        <f>T("   Statuettes et autres objets d'ornement, en bois (autres que marquetés ou incrustés)")</f>
        <v xml:space="preserve">   Statuettes et autres objets d'ornement, en bois (autres que marquetés ou incrustés)</v>
      </c>
      <c r="C10180">
        <v>191999</v>
      </c>
      <c r="D10180">
        <v>1000</v>
      </c>
    </row>
    <row r="10181" spans="1:4" x14ac:dyDescent="0.25">
      <c r="A10181" t="str">
        <f>T("   442090")</f>
        <v xml:space="preserve">   442090</v>
      </c>
      <c r="B10181" t="s">
        <v>190</v>
      </c>
      <c r="C10181">
        <v>503530</v>
      </c>
      <c r="D10181">
        <v>1520</v>
      </c>
    </row>
    <row r="10182" spans="1:4" x14ac:dyDescent="0.25">
      <c r="A10182" t="str">
        <f>T("   442110")</f>
        <v xml:space="preserve">   442110</v>
      </c>
      <c r="B10182" t="str">
        <f>T("   Cintres pour vêtements, en bois")</f>
        <v xml:space="preserve">   Cintres pour vêtements, en bois</v>
      </c>
      <c r="C10182">
        <v>20000</v>
      </c>
      <c r="D10182">
        <v>50</v>
      </c>
    </row>
    <row r="10183" spans="1:4" x14ac:dyDescent="0.25">
      <c r="A10183" t="str">
        <f>T("   442190")</f>
        <v xml:space="preserve">   442190</v>
      </c>
      <c r="B10183" t="str">
        <f>T("   Ouvrages, en bois, n.d.a.")</f>
        <v xml:space="preserve">   Ouvrages, en bois, n.d.a.</v>
      </c>
      <c r="C10183">
        <v>3493993</v>
      </c>
      <c r="D10183">
        <v>40905</v>
      </c>
    </row>
    <row r="10184" spans="1:4" x14ac:dyDescent="0.25">
      <c r="A10184" t="str">
        <f>T("   460120")</f>
        <v xml:space="preserve">   460120</v>
      </c>
      <c r="B10184" t="str">
        <f>T("   Nattes, paillassons et claies en matières à tresser végétales, tissés ou parallélisés, à plat")</f>
        <v xml:space="preserve">   Nattes, paillassons et claies en matières à tresser végétales, tissés ou parallélisés, à plat</v>
      </c>
      <c r="C10184">
        <v>164206</v>
      </c>
      <c r="D10184">
        <v>800</v>
      </c>
    </row>
    <row r="10185" spans="1:4" x14ac:dyDescent="0.25">
      <c r="A10185" t="str">
        <f>T("   460199")</f>
        <v xml:space="preserve">   460199</v>
      </c>
      <c r="B10185" t="str">
        <f>T("   MATIÈRES À TRESSER, TRESSES ET ARTICLES SIMIL., EN MATIÈRES À TRESSER NON-VÉGÉTALES, TISSÉS OU PARALLÉLISÉS, À PLAT (À L'EXCL. DES REVÊTEMENTS MURAUX DU N° 4814 AINSI QUE DES PARTIES DE CHAUSSURES OU DE COIFFURES)")</f>
        <v xml:space="preserve">   MATIÈRES À TRESSER, TRESSES ET ARTICLES SIMIL., EN MATIÈRES À TRESSER NON-VÉGÉTALES, TISSÉS OU PARALLÉLISÉS, À PLAT (À L'EXCL. DES REVÊTEMENTS MURAUX DU N° 4814 AINSI QUE DES PARTIES DE CHAUSSURES OU DE COIFFURES)</v>
      </c>
      <c r="C10185">
        <v>50729480</v>
      </c>
      <c r="D10185">
        <v>108155</v>
      </c>
    </row>
    <row r="10186" spans="1:4" x14ac:dyDescent="0.25">
      <c r="A10186" t="str">
        <f>T("   480100")</f>
        <v xml:space="preserve">   480100</v>
      </c>
      <c r="B10186" t="str">
        <f>T("   Papier journal, en rouleaux d'une largeur &gt; 36 cm ou en feuilles de forme carrée ou rectangulaire dont au moins un coté &gt; 36 cm et l'autre &gt; 15 cm à l'état non plié")</f>
        <v xml:space="preserve">   Papier journal, en rouleaux d'une largeur &gt; 36 cm ou en feuilles de forme carrée ou rectangulaire dont au moins un coté &gt; 36 cm et l'autre &gt; 15 cm à l'état non plié</v>
      </c>
      <c r="C10186">
        <v>11559391</v>
      </c>
      <c r="D10186">
        <v>20428</v>
      </c>
    </row>
    <row r="10187" spans="1:4" x14ac:dyDescent="0.25">
      <c r="A10187" t="str">
        <f>T("   480269")</f>
        <v xml:space="preserve">   480269</v>
      </c>
      <c r="B10187" t="s">
        <v>195</v>
      </c>
      <c r="C10187">
        <v>382305</v>
      </c>
      <c r="D10187">
        <v>1920</v>
      </c>
    </row>
    <row r="10188" spans="1:4" x14ac:dyDescent="0.25">
      <c r="A10188" t="str">
        <f>T("   480300")</f>
        <v xml:space="preserve">   480300</v>
      </c>
      <c r="B10188" t="s">
        <v>198</v>
      </c>
      <c r="C10188">
        <v>413284</v>
      </c>
      <c r="D10188">
        <v>2090</v>
      </c>
    </row>
    <row r="10189" spans="1:4" x14ac:dyDescent="0.25">
      <c r="A10189" t="str">
        <f>T("   480439")</f>
        <v xml:space="preserve">   480439</v>
      </c>
      <c r="B10189" t="s">
        <v>200</v>
      </c>
      <c r="C10189">
        <v>358102</v>
      </c>
      <c r="D10189">
        <v>560</v>
      </c>
    </row>
    <row r="10190" spans="1:4" x14ac:dyDescent="0.25">
      <c r="A10190" t="str">
        <f>T("   480459")</f>
        <v xml:space="preserve">   480459</v>
      </c>
      <c r="B10190" t="s">
        <v>202</v>
      </c>
      <c r="C10190">
        <v>2152560</v>
      </c>
      <c r="D10190">
        <v>14620</v>
      </c>
    </row>
    <row r="10191" spans="1:4" x14ac:dyDescent="0.25">
      <c r="A10191" t="str">
        <f>T("   480820")</f>
        <v xml:space="preserve">   480820</v>
      </c>
      <c r="B10191" t="str">
        <f>T("   Papiers kraft pour sacs de grande contenance, crêpés ou plissés, même gaufrés, estampés ou perforés, en rouleaux d'une largeur &gt; 36 cm ou en feuilles de forme carrée ou rectangulaire dont au moins un coté &gt; 36 cm et l'autre &gt; 15 cm à l'état non plié")</f>
        <v xml:space="preserve">   Papiers kraft pour sacs de grande contenance, crêpés ou plissés, même gaufrés, estampés ou perforés, en rouleaux d'une largeur &gt; 36 cm ou en feuilles de forme carrée ou rectangulaire dont au moins un coté &gt; 36 cm et l'autre &gt; 15 cm à l'état non plié</v>
      </c>
      <c r="C10191">
        <v>112000</v>
      </c>
      <c r="D10191">
        <v>320</v>
      </c>
    </row>
    <row r="10192" spans="1:4" x14ac:dyDescent="0.25">
      <c r="A10192" t="str">
        <f>T("   481019")</f>
        <v xml:space="preserve">   481019</v>
      </c>
      <c r="B10192" t="s">
        <v>208</v>
      </c>
      <c r="C10192">
        <v>4280829</v>
      </c>
      <c r="D10192">
        <v>28030</v>
      </c>
    </row>
    <row r="10193" spans="1:4" x14ac:dyDescent="0.25">
      <c r="A10193" t="str">
        <f>T("   481141")</f>
        <v xml:space="preserve">   481141</v>
      </c>
      <c r="B10193" t="str">
        <f>T("   Papiers et cartons, auto-adhésifs, coloriés en surface, décorés en surface ou imprimés, en rouleaux ou en feuilles de forme carrée ou rectangulaire, de tout format (à l'excl. des produits du n° 4810)")</f>
        <v xml:space="preserve">   Papiers et cartons, auto-adhésifs, coloriés en surface, décorés en surface ou imprimés, en rouleaux ou en feuilles de forme carrée ou rectangulaire, de tout format (à l'excl. des produits du n° 4810)</v>
      </c>
      <c r="C10193">
        <v>497</v>
      </c>
      <c r="D10193">
        <v>50</v>
      </c>
    </row>
    <row r="10194" spans="1:4" x14ac:dyDescent="0.25">
      <c r="A10194" t="str">
        <f>T("   481149")</f>
        <v xml:space="preserve">   481149</v>
      </c>
      <c r="B10194" t="str">
        <f>T("   Papiers et cartons gommés ou adhésifs, coloriés en surface, décorés en surface ou imprimés, en rouleaux ou en feuilles de forme carrée ou rectangulaire, de tout format (à l'excl. des papiers et cartons auto-adhésifs ainsi que des produits du n° 4810)")</f>
        <v xml:space="preserve">   Papiers et cartons gommés ou adhésifs, coloriés en surface, décorés en surface ou imprimés, en rouleaux ou en feuilles de forme carrée ou rectangulaire, de tout format (à l'excl. des papiers et cartons auto-adhésifs ainsi que des produits du n° 4810)</v>
      </c>
      <c r="C10194">
        <v>640000</v>
      </c>
      <c r="D10194">
        <v>1100</v>
      </c>
    </row>
    <row r="10195" spans="1:4" x14ac:dyDescent="0.25">
      <c r="A10195" t="str">
        <f>T("   481159")</f>
        <v xml:space="preserve">   481159</v>
      </c>
      <c r="B10195" t="s">
        <v>212</v>
      </c>
      <c r="C10195">
        <v>4993726</v>
      </c>
      <c r="D10195">
        <v>40686</v>
      </c>
    </row>
    <row r="10196" spans="1:4" x14ac:dyDescent="0.25">
      <c r="A10196" t="str">
        <f>T("   481490")</f>
        <v xml:space="preserve">   481490</v>
      </c>
      <c r="B10196" t="s">
        <v>213</v>
      </c>
      <c r="C10196">
        <v>43692</v>
      </c>
      <c r="D10196">
        <v>30</v>
      </c>
    </row>
    <row r="10197" spans="1:4" x14ac:dyDescent="0.25">
      <c r="A10197" t="str">
        <f>T("   481810")</f>
        <v xml:space="preserve">   481810</v>
      </c>
      <c r="B10197" t="str">
        <f>T("   Papier hygiénique, en rouleaux d'une largeur &lt;= 36 cm")</f>
        <v xml:space="preserve">   Papier hygiénique, en rouleaux d'une largeur &lt;= 36 cm</v>
      </c>
      <c r="C10197">
        <v>3434908</v>
      </c>
      <c r="D10197">
        <v>19009.189999999999</v>
      </c>
    </row>
    <row r="10198" spans="1:4" x14ac:dyDescent="0.25">
      <c r="A10198" t="str">
        <f>T("   481820")</f>
        <v xml:space="preserve">   481820</v>
      </c>
      <c r="B10198" t="str">
        <f>T("   Mouchoirs, serviettes à démaquiller et essuie-mains, en pâte à papier, papier, ouate de cellulose ou nappes de fibres de cellulose")</f>
        <v xml:space="preserve">   Mouchoirs, serviettes à démaquiller et essuie-mains, en pâte à papier, papier, ouate de cellulose ou nappes de fibres de cellulose</v>
      </c>
      <c r="C10198">
        <v>776316</v>
      </c>
      <c r="D10198">
        <v>2035</v>
      </c>
    </row>
    <row r="10199" spans="1:4" x14ac:dyDescent="0.25">
      <c r="A10199" t="str">
        <f>T("   481840")</f>
        <v xml:space="preserve">   481840</v>
      </c>
      <c r="B10199"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10199">
        <v>2300000</v>
      </c>
      <c r="D10199">
        <v>7190</v>
      </c>
    </row>
    <row r="10200" spans="1:4" x14ac:dyDescent="0.25">
      <c r="A10200" t="str">
        <f>T("   481910")</f>
        <v xml:space="preserve">   481910</v>
      </c>
      <c r="B10200" t="str">
        <f>T("   Boîtes et caisses en papier ou en carton ondulé")</f>
        <v xml:space="preserve">   Boîtes et caisses en papier ou en carton ondulé</v>
      </c>
      <c r="C10200">
        <v>26382181</v>
      </c>
      <c r="D10200">
        <v>83857</v>
      </c>
    </row>
    <row r="10201" spans="1:4" x14ac:dyDescent="0.25">
      <c r="A10201" t="str">
        <f>T("   481920")</f>
        <v xml:space="preserve">   481920</v>
      </c>
      <c r="B10201" t="str">
        <f>T("   Boîtes et cartonnages, pliants, en papier ou en carton non ondulé")</f>
        <v xml:space="preserve">   Boîtes et cartonnages, pliants, en papier ou en carton non ondulé</v>
      </c>
      <c r="C10201">
        <v>2247411</v>
      </c>
      <c r="D10201">
        <v>15328</v>
      </c>
    </row>
    <row r="10202" spans="1:4" x14ac:dyDescent="0.25">
      <c r="A10202" t="str">
        <f>T("   481940")</f>
        <v xml:space="preserve">   481940</v>
      </c>
      <c r="B10202" t="str">
        <f>T("   Sacs, sachets, pochettes et cornets, en papier, carton, ouate de cellulose ou nappes de fibres de cellulose (à l'excl. des pochettes pour disques et des sacs d'une largeur à la base &gt;= 40 cm)")</f>
        <v xml:space="preserve">   Sacs, sachets, pochettes et cornets, en papier, carton, ouate de cellulose ou nappes de fibres de cellulose (à l'excl. des pochettes pour disques et des sacs d'une largeur à la base &gt;= 40 cm)</v>
      </c>
      <c r="C10202">
        <v>936920</v>
      </c>
      <c r="D10202">
        <v>3100</v>
      </c>
    </row>
    <row r="10203" spans="1:4" x14ac:dyDescent="0.25">
      <c r="A10203" t="str">
        <f>T("   481950")</f>
        <v xml:space="preserve">   481950</v>
      </c>
      <c r="B10203" t="s">
        <v>218</v>
      </c>
      <c r="C10203">
        <v>541920</v>
      </c>
      <c r="D10203">
        <v>2335</v>
      </c>
    </row>
    <row r="10204" spans="1:4" x14ac:dyDescent="0.25">
      <c r="A10204" t="str">
        <f>T("   481960")</f>
        <v xml:space="preserve">   481960</v>
      </c>
      <c r="B10204" t="str">
        <f>T("   Cartonnages de bureau, de magasin ou simil., rigides (à l'excl. des emballages)")</f>
        <v xml:space="preserve">   Cartonnages de bureau, de magasin ou simil., rigides (à l'excl. des emballages)</v>
      </c>
      <c r="C10204">
        <v>867588</v>
      </c>
      <c r="D10204">
        <v>7350</v>
      </c>
    </row>
    <row r="10205" spans="1:4" x14ac:dyDescent="0.25">
      <c r="A10205" t="str">
        <f>T("   482010")</f>
        <v xml:space="preserve">   482010</v>
      </c>
      <c r="B10205" t="str">
        <f>T("   Registres, livres comptables, carnets de notes, de commandes ou de quittances, blocs-mémorandums, blocs de papier à lettres, agendas et ouvrages simil., en papier ou carton")</f>
        <v xml:space="preserve">   Registres, livres comptables, carnets de notes, de commandes ou de quittances, blocs-mémorandums, blocs de papier à lettres, agendas et ouvrages simil., en papier ou carton</v>
      </c>
      <c r="C10205">
        <v>15660164</v>
      </c>
      <c r="D10205">
        <v>19049</v>
      </c>
    </row>
    <row r="10206" spans="1:4" x14ac:dyDescent="0.25">
      <c r="A10206" t="str">
        <f>T("   482020")</f>
        <v xml:space="preserve">   482020</v>
      </c>
      <c r="B10206" t="str">
        <f>T("   Cahiers pour l'écriture, en papier ou carton")</f>
        <v xml:space="preserve">   Cahiers pour l'écriture, en papier ou carton</v>
      </c>
      <c r="C10206">
        <v>8891884</v>
      </c>
      <c r="D10206">
        <v>58600</v>
      </c>
    </row>
    <row r="10207" spans="1:4" x14ac:dyDescent="0.25">
      <c r="A10207" t="str">
        <f>T("   482030")</f>
        <v xml:space="preserve">   482030</v>
      </c>
      <c r="B10207" t="str">
        <f>T("   Classeurs, reliures (autres que les couvertures pour livres), chemises et couvertures à dossiers, en papier ou en carton")</f>
        <v xml:space="preserve">   Classeurs, reliures (autres que les couvertures pour livres), chemises et couvertures à dossiers, en papier ou en carton</v>
      </c>
      <c r="C10207">
        <v>35223527</v>
      </c>
      <c r="D10207">
        <v>77547</v>
      </c>
    </row>
    <row r="10208" spans="1:4" x14ac:dyDescent="0.25">
      <c r="A10208" t="str">
        <f>T("   482040")</f>
        <v xml:space="preserve">   482040</v>
      </c>
      <c r="B10208" t="str">
        <f>T("   Liasses et carnets manifold, même comportant des feuilles de papier carbone, en papier ou carton")</f>
        <v xml:space="preserve">   Liasses et carnets manifold, même comportant des feuilles de papier carbone, en papier ou carton</v>
      </c>
      <c r="C10208">
        <v>2424817</v>
      </c>
      <c r="D10208">
        <v>3057</v>
      </c>
    </row>
    <row r="10209" spans="1:4" x14ac:dyDescent="0.25">
      <c r="A10209" t="str">
        <f>T("   482050")</f>
        <v xml:space="preserve">   482050</v>
      </c>
      <c r="B10209" t="str">
        <f>T("   Albums pour échantillonnages ou pour collections, en papier ou en carton")</f>
        <v xml:space="preserve">   Albums pour échantillonnages ou pour collections, en papier ou en carton</v>
      </c>
      <c r="C10209">
        <v>32769</v>
      </c>
      <c r="D10209">
        <v>400</v>
      </c>
    </row>
    <row r="10210" spans="1:4" x14ac:dyDescent="0.25">
      <c r="A10210" t="str">
        <f>T("   482090")</f>
        <v xml:space="preserve">   482090</v>
      </c>
      <c r="B10210" t="s">
        <v>219</v>
      </c>
      <c r="C10210">
        <v>229383</v>
      </c>
      <c r="D10210">
        <v>1180</v>
      </c>
    </row>
    <row r="10211" spans="1:4" x14ac:dyDescent="0.25">
      <c r="A10211" t="str">
        <f>T("   482110")</f>
        <v xml:space="preserve">   482110</v>
      </c>
      <c r="B10211" t="str">
        <f>T("   ÉTIQUETTES DE TOUS GENRES, EN PAPIER OU EN CARTON, IMPRIMÉES")</f>
        <v xml:space="preserve">   ÉTIQUETTES DE TOUS GENRES, EN PAPIER OU EN CARTON, IMPRIMÉES</v>
      </c>
      <c r="C10211">
        <v>5712226</v>
      </c>
      <c r="D10211">
        <v>90</v>
      </c>
    </row>
    <row r="10212" spans="1:4" x14ac:dyDescent="0.25">
      <c r="A10212" t="str">
        <f>T("   482190")</f>
        <v xml:space="preserve">   482190</v>
      </c>
      <c r="B10212" t="str">
        <f>T("   ÉTIQUETTES DE TOUS GENRES, EN PAPIER OU EN CARTON, NON-IMPRIMÉES")</f>
        <v xml:space="preserve">   ÉTIQUETTES DE TOUS GENRES, EN PAPIER OU EN CARTON, NON-IMPRIMÉES</v>
      </c>
      <c r="C10212">
        <v>247601</v>
      </c>
      <c r="D10212">
        <v>2100</v>
      </c>
    </row>
    <row r="10213" spans="1:4" x14ac:dyDescent="0.25">
      <c r="A10213" t="str">
        <f>T("   482360")</f>
        <v xml:space="preserve">   482360</v>
      </c>
      <c r="B10213" t="str">
        <f>T("   Plateaux, plats, assiettes, tasses, gobelets et articles simil., en papier ou en carton")</f>
        <v xml:space="preserve">   Plateaux, plats, assiettes, tasses, gobelets et articles simil., en papier ou en carton</v>
      </c>
      <c r="C10213">
        <v>130338</v>
      </c>
      <c r="D10213">
        <v>240</v>
      </c>
    </row>
    <row r="10214" spans="1:4" x14ac:dyDescent="0.25">
      <c r="A10214" t="str">
        <f>T("   490199")</f>
        <v xml:space="preserve">   490199</v>
      </c>
      <c r="B10214"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10214">
        <v>28856096</v>
      </c>
      <c r="D10214">
        <v>101639</v>
      </c>
    </row>
    <row r="10215" spans="1:4" x14ac:dyDescent="0.25">
      <c r="A10215" t="str">
        <f>T("   490700")</f>
        <v xml:space="preserve">   490700</v>
      </c>
      <c r="B10215" t="s">
        <v>221</v>
      </c>
      <c r="C10215">
        <v>76965300</v>
      </c>
      <c r="D10215">
        <v>35378</v>
      </c>
    </row>
    <row r="10216" spans="1:4" x14ac:dyDescent="0.25">
      <c r="A10216" t="str">
        <f>T("   490900")</f>
        <v xml:space="preserve">   490900</v>
      </c>
      <c r="B10216" t="str">
        <f>T("   Cartes postales imprimées ou illustrées; cartes imprimées comportant des voeux ou des messages personnels, même illustrées, avec ou sans enveloppes, garnitures ou applications")</f>
        <v xml:space="preserve">   Cartes postales imprimées ou illustrées; cartes imprimées comportant des voeux ou des messages personnels, même illustrées, avec ou sans enveloppes, garnitures ou applications</v>
      </c>
      <c r="C10216">
        <v>109230</v>
      </c>
      <c r="D10216">
        <v>1550</v>
      </c>
    </row>
    <row r="10217" spans="1:4" x14ac:dyDescent="0.25">
      <c r="A10217" t="str">
        <f>T("   491000")</f>
        <v xml:space="preserve">   491000</v>
      </c>
      <c r="B10217" t="str">
        <f>T("   Calendriers de tous genres, imprimés, y.c. les blocs de calendriers à effeuiller")</f>
        <v xml:space="preserve">   Calendriers de tous genres, imprimés, y.c. les blocs de calendriers à effeuiller</v>
      </c>
      <c r="C10217">
        <v>3674309</v>
      </c>
      <c r="D10217">
        <v>1900</v>
      </c>
    </row>
    <row r="10218" spans="1:4" x14ac:dyDescent="0.25">
      <c r="A10218" t="str">
        <f>T("   491110")</f>
        <v xml:space="preserve">   491110</v>
      </c>
      <c r="B10218" t="str">
        <f>T("   Imprimés publicitaires, catalogues commerciaux et simil.")</f>
        <v xml:space="preserve">   Imprimés publicitaires, catalogues commerciaux et simil.</v>
      </c>
      <c r="C10218">
        <v>327690</v>
      </c>
      <c r="D10218">
        <v>553</v>
      </c>
    </row>
    <row r="10219" spans="1:4" x14ac:dyDescent="0.25">
      <c r="A10219" t="str">
        <f>T("   491191")</f>
        <v xml:space="preserve">   491191</v>
      </c>
      <c r="B10219" t="str">
        <f>T("   Images, gravures et photographies, n.d.a.")</f>
        <v xml:space="preserve">   Images, gravures et photographies, n.d.a.</v>
      </c>
      <c r="C10219">
        <v>43692</v>
      </c>
      <c r="D10219">
        <v>800</v>
      </c>
    </row>
    <row r="10220" spans="1:4" x14ac:dyDescent="0.25">
      <c r="A10220" t="str">
        <f>T("   491199")</f>
        <v xml:space="preserve">   491199</v>
      </c>
      <c r="B10220" t="str">
        <f>T("   Imprimés, n.d.a.")</f>
        <v xml:space="preserve">   Imprimés, n.d.a.</v>
      </c>
      <c r="C10220">
        <v>131076</v>
      </c>
      <c r="D10220">
        <v>840</v>
      </c>
    </row>
    <row r="10221" spans="1:4" x14ac:dyDescent="0.25">
      <c r="A10221" t="str">
        <f>T("   510529")</f>
        <v xml:space="preserve">   510529</v>
      </c>
      <c r="B10221" t="str">
        <f>T("   Laine peignée (à l'excl. de la 'laine peignée en vrac')")</f>
        <v xml:space="preserve">   Laine peignée (à l'excl. de la 'laine peignée en vrac')</v>
      </c>
      <c r="C10221">
        <v>90000</v>
      </c>
      <c r="D10221">
        <v>35</v>
      </c>
    </row>
    <row r="10222" spans="1:4" x14ac:dyDescent="0.25">
      <c r="A10222" t="str">
        <f>T("   511230")</f>
        <v xml:space="preserve">   511230</v>
      </c>
      <c r="B10222" t="str">
        <f>T("   Tissus de laine peignée ou de poils fins peignés, contenant en prédominance, mais &lt; 85% en poids de laine ou de poils fins, mélangés principalement ou uniquement avec des fibres synthétiques ou artificielles discontinues")</f>
        <v xml:space="preserve">   Tissus de laine peignée ou de poils fins peignés, contenant en prédominance, mais &lt; 85% en poids de laine ou de poils fins, mélangés principalement ou uniquement avec des fibres synthétiques ou artificielles discontinues</v>
      </c>
      <c r="C10222">
        <v>218460</v>
      </c>
      <c r="D10222">
        <v>400</v>
      </c>
    </row>
    <row r="10223" spans="1:4" x14ac:dyDescent="0.25">
      <c r="A10223" t="str">
        <f>T("   520300")</f>
        <v xml:space="preserve">   520300</v>
      </c>
      <c r="B10223" t="str">
        <f>T("   Coton, cardé ou peigné")</f>
        <v xml:space="preserve">   Coton, cardé ou peigné</v>
      </c>
      <c r="C10223">
        <v>989284</v>
      </c>
      <c r="D10223">
        <v>1480</v>
      </c>
    </row>
    <row r="10224" spans="1:4" x14ac:dyDescent="0.25">
      <c r="A10224" t="str">
        <f>T("   520419")</f>
        <v xml:space="preserve">   520419</v>
      </c>
      <c r="B10224" t="str">
        <f>T("   Fils à coudre de coton, contenant en prédominance, mais &lt; 85% en poids de coton, non conditionnés pour la vente au détail")</f>
        <v xml:space="preserve">   Fils à coudre de coton, contenant en prédominance, mais &lt; 85% en poids de coton, non conditionnés pour la vente au détail</v>
      </c>
      <c r="C10224">
        <v>1000000</v>
      </c>
      <c r="D10224">
        <v>6680</v>
      </c>
    </row>
    <row r="10225" spans="1:4" x14ac:dyDescent="0.25">
      <c r="A10225" t="str">
        <f>T("   520819")</f>
        <v xml:space="preserve">   520819</v>
      </c>
      <c r="B10225" t="str">
        <f>T("   Tissus de coton, écrus, contenant &gt;= 85% en poids de coton, d'un poids &lt;= 200 g/m² (à l'excl. des tissus à armure toile ou à armure sergé [y.c. le croisé] d'un rapport d'armure &lt;= 4)")</f>
        <v xml:space="preserve">   Tissus de coton, écrus, contenant &gt;= 85% en poids de coton, d'un poids &lt;= 200 g/m² (à l'excl. des tissus à armure toile ou à armure sergé [y.c. le croisé] d'un rapport d'armure &lt;= 4)</v>
      </c>
      <c r="C10225">
        <v>12000000</v>
      </c>
      <c r="D10225">
        <v>21320</v>
      </c>
    </row>
    <row r="10226" spans="1:4" x14ac:dyDescent="0.25">
      <c r="A10226" t="str">
        <f>T("   520823")</f>
        <v xml:space="preserve">   520823</v>
      </c>
      <c r="B10226" t="str">
        <f>T("   TISSUS DE COTON, BLANCHIS, À ARMURE SERGÉ 'Y.C. LE CROISÉ' D'UN RAPPORT D'ARMURE &lt;= 4, CONTENANT &gt;= 85% EN POIDS DE COTON, D'UN POIDS &lt;= 200 G/M²")</f>
        <v xml:space="preserve">   TISSUS DE COTON, BLANCHIS, À ARMURE SERGÉ 'Y.C. LE CROISÉ' D'UN RAPPORT D'ARMURE &lt;= 4, CONTENANT &gt;= 85% EN POIDS DE COTON, D'UN POIDS &lt;= 200 G/M²</v>
      </c>
      <c r="C10226">
        <v>2000000</v>
      </c>
      <c r="D10226">
        <v>200</v>
      </c>
    </row>
    <row r="10227" spans="1:4" x14ac:dyDescent="0.25">
      <c r="A10227" t="str">
        <f>T("   520852")</f>
        <v xml:space="preserve">   520852</v>
      </c>
      <c r="B10227" t="str">
        <f>T("   Tissus de coton, imprimés, à armure toile, contenant &gt;= 85% en poids de coton, d'un poids &gt; 100 g/m² mais &lt;= 200 g/m²")</f>
        <v xml:space="preserve">   Tissus de coton, imprimés, à armure toile, contenant &gt;= 85% en poids de coton, d'un poids &gt; 100 g/m² mais &lt;= 200 g/m²</v>
      </c>
      <c r="C10227">
        <v>545946903</v>
      </c>
      <c r="D10227">
        <v>140999</v>
      </c>
    </row>
    <row r="10228" spans="1:4" x14ac:dyDescent="0.25">
      <c r="A10228" t="str">
        <f>T("   520859")</f>
        <v xml:space="preserve">   520859</v>
      </c>
      <c r="B10228" t="str">
        <f>T("   TISSUS DE COTON, IMPRIMÉS, CONTENANT &gt;= 85% EN POIDS DE COTON, D'UN POIDS &lt;= 200 G/M² (À L'EXCL. DES TISSUS À ARMURE TOILE)")</f>
        <v xml:space="preserve">   TISSUS DE COTON, IMPRIMÉS, CONTENANT &gt;= 85% EN POIDS DE COTON, D'UN POIDS &lt;= 200 G/M² (À L'EXCL. DES TISSUS À ARMURE TOILE)</v>
      </c>
      <c r="C10228">
        <v>1377516</v>
      </c>
      <c r="D10228">
        <v>5900</v>
      </c>
    </row>
    <row r="10229" spans="1:4" x14ac:dyDescent="0.25">
      <c r="A10229" t="str">
        <f>T("   520929")</f>
        <v xml:space="preserve">   520929</v>
      </c>
      <c r="B10229" t="str">
        <f>T("   Tissus de coton, blanchis, contenant &gt;= 85% en poids de coton, d'un poids &gt; 200 g/m² (à l'excl. des tissus à armure toile ou à armure sergé [y.c. le croisé] d'un rapport d'armure &lt;= 4)")</f>
        <v xml:space="preserve">   Tissus de coton, blanchis, contenant &gt;= 85% en poids de coton, d'un poids &gt; 200 g/m² (à l'excl. des tissus à armure toile ou à armure sergé [y.c. le croisé] d'un rapport d'armure &lt;= 4)</v>
      </c>
      <c r="C10229">
        <v>492920</v>
      </c>
      <c r="D10229">
        <v>660</v>
      </c>
    </row>
    <row r="10230" spans="1:4" x14ac:dyDescent="0.25">
      <c r="A10230" t="str">
        <f>T("   520939")</f>
        <v xml:space="preserve">   520939</v>
      </c>
      <c r="B10230" t="str">
        <f>T("   Tissus de coton, teints, contenant &gt;= 85% en poids de coton, d'un poids &gt; 200 g/m² (à l'excl. des tissus à armure toile ou à armure sergé [y.c. le croisé] d'un rapport d'armure &lt;= 4)")</f>
        <v xml:space="preserve">   Tissus de coton, teints, contenant &gt;= 85% en poids de coton, d'un poids &gt; 200 g/m² (à l'excl. des tissus à armure toile ou à armure sergé [y.c. le croisé] d'un rapport d'armure &lt;= 4)</v>
      </c>
      <c r="C10230">
        <v>500000</v>
      </c>
      <c r="D10230">
        <v>2224</v>
      </c>
    </row>
    <row r="10231" spans="1:4" x14ac:dyDescent="0.25">
      <c r="A10231" t="str">
        <f>T("   520951")</f>
        <v xml:space="preserve">   520951</v>
      </c>
      <c r="B10231" t="str">
        <f>T("   Tissus de coton, imprimés, à armure toile, contenant &gt;= 85% en poids de coton, d'un poids &gt; 200 g/m²")</f>
        <v xml:space="preserve">   Tissus de coton, imprimés, à armure toile, contenant &gt;= 85% en poids de coton, d'un poids &gt; 200 g/m²</v>
      </c>
      <c r="C10231">
        <v>59300749</v>
      </c>
      <c r="D10231">
        <v>44623</v>
      </c>
    </row>
    <row r="10232" spans="1:4" x14ac:dyDescent="0.25">
      <c r="A10232" t="str">
        <f>T("   520959")</f>
        <v xml:space="preserve">   520959</v>
      </c>
      <c r="B10232" t="str">
        <f>T("   Tissus de coton, imprimés, contenant &gt;= 85% en poids de coton, d'un poids &gt; 200 g/m² (à l'excl. des tissus à armure toile ou à armure sergé [y.c. le croisé] d'un rapport d'armure &lt;= 4)")</f>
        <v xml:space="preserve">   Tissus de coton, imprimés, contenant &gt;= 85% en poids de coton, d'un poids &gt; 200 g/m² (à l'excl. des tissus à armure toile ou à armure sergé [y.c. le croisé] d'un rapport d'armure &lt;= 4)</v>
      </c>
      <c r="C10232">
        <v>200000</v>
      </c>
      <c r="D10232">
        <v>1380</v>
      </c>
    </row>
    <row r="10233" spans="1:4" x14ac:dyDescent="0.25">
      <c r="A10233" t="str">
        <f>T("   521029")</f>
        <v xml:space="preserve">   521029</v>
      </c>
      <c r="B10233" t="s">
        <v>223</v>
      </c>
      <c r="C10233">
        <v>232558</v>
      </c>
      <c r="D10233">
        <v>1530</v>
      </c>
    </row>
    <row r="10234" spans="1:4" x14ac:dyDescent="0.25">
      <c r="A10234" t="str">
        <f>T("   521139")</f>
        <v xml:space="preserve">   521139</v>
      </c>
      <c r="B10234" t="s">
        <v>225</v>
      </c>
      <c r="C10234">
        <v>130000</v>
      </c>
      <c r="D10234">
        <v>59508</v>
      </c>
    </row>
    <row r="10235" spans="1:4" x14ac:dyDescent="0.25">
      <c r="A10235" t="str">
        <f>T("   521141")</f>
        <v xml:space="preserve">   521141</v>
      </c>
      <c r="B10235" t="str">
        <f>T("   Tissus de coton, en fils de diverses couleurs, à armure toile, contenant en prédominance, mais &lt; 85% en poids de coton, mélangés principalement ou uniquement avec des fibres synthétiques ou artificielles, d'un poids &gt; 200 g/m²")</f>
        <v xml:space="preserve">   Tissus de coton, en fils de diverses couleurs, à armure toile, contenant en prédominance, mais &lt; 85% en poids de coton, mélangés principalement ou uniquement avec des fibres synthétiques ou artificielles, d'un poids &gt; 200 g/m²</v>
      </c>
      <c r="C10235">
        <v>88369</v>
      </c>
      <c r="D10235">
        <v>160</v>
      </c>
    </row>
    <row r="10236" spans="1:4" x14ac:dyDescent="0.25">
      <c r="A10236" t="str">
        <f>T("   521159")</f>
        <v xml:space="preserve">   521159</v>
      </c>
      <c r="B10236" t="s">
        <v>226</v>
      </c>
      <c r="C10236">
        <v>41029795</v>
      </c>
      <c r="D10236">
        <v>92947</v>
      </c>
    </row>
    <row r="10237" spans="1:4" x14ac:dyDescent="0.25">
      <c r="A10237" t="str">
        <f>T("   521211")</f>
        <v xml:space="preserve">   521211</v>
      </c>
      <c r="B10237" t="str">
        <f>T("   Tissus de coton, écrus, contenant en prédominance, mais &lt; 85% en poids de coton, autres que mélangés principalement ou uniquement avec des fibres synthétiques ou artificielles, d'un poids &lt;= 200 g/m²")</f>
        <v xml:space="preserve">   Tissus de coton, écrus, contenant en prédominance, mais &lt; 85% en poids de coton, autres que mélangés principalement ou uniquement avec des fibres synthétiques ou artificielles, d'un poids &lt;= 200 g/m²</v>
      </c>
      <c r="C10237">
        <v>738007</v>
      </c>
      <c r="D10237">
        <v>2750</v>
      </c>
    </row>
    <row r="10238" spans="1:4" x14ac:dyDescent="0.25">
      <c r="A10238" t="str">
        <f>T("   521213")</f>
        <v xml:space="preserve">   521213</v>
      </c>
      <c r="B10238" t="str">
        <f>T("   Tissus de coton, teints, contenant en prédominance, mais &lt; 85% en poids de coton, autres que mélangés principalement ou uniquement avec des fibres synthétiques ou artificielles, d'un poids &lt;= 200 g/m²")</f>
        <v xml:space="preserve">   Tissus de coton, teints, contenant en prédominance, mais &lt; 85% en poids de coton, autres que mélangés principalement ou uniquement avec des fibres synthétiques ou artificielles, d'un poids &lt;= 200 g/m²</v>
      </c>
      <c r="C10238">
        <v>371382</v>
      </c>
      <c r="D10238">
        <v>400</v>
      </c>
    </row>
    <row r="10239" spans="1:4" x14ac:dyDescent="0.25">
      <c r="A10239" t="str">
        <f>T("   521214")</f>
        <v xml:space="preserve">   521214</v>
      </c>
      <c r="B10239" t="str">
        <f>T("   Tissus de coton, en fils de diverses couleurs, contenant en prédominance, mais &lt; 85% en poids de coton, autres que mélangés principalement ou uniquement avec des fibres synthétiques ou artificielles, d'un poids &lt;= 200 g/m²")</f>
        <v xml:space="preserve">   Tissus de coton, en fils de diverses couleurs, contenant en prédominance, mais &lt; 85% en poids de coton, autres que mélangés principalement ou uniquement avec des fibres synthétiques ou artificielles, d'un poids &lt;= 200 g/m²</v>
      </c>
      <c r="C10239">
        <v>218460</v>
      </c>
      <c r="D10239">
        <v>1040</v>
      </c>
    </row>
    <row r="10240" spans="1:4" x14ac:dyDescent="0.25">
      <c r="A10240" t="str">
        <f>T("   521225")</f>
        <v xml:space="preserve">   521225</v>
      </c>
      <c r="B10240" t="str">
        <f>T("   Tissus de coton, imprimés, contenant en prédominance, mais &lt; 85% en poids de coton, autres que mélangés principalement ou uniquement avec des fibres synthétiques ou artificielles, d'un poids &gt; 200 g/m²")</f>
        <v xml:space="preserve">   Tissus de coton, imprimés, contenant en prédominance, mais &lt; 85% en poids de coton, autres que mélangés principalement ou uniquement avec des fibres synthétiques ou artificielles, d'un poids &gt; 200 g/m²</v>
      </c>
      <c r="C10240">
        <v>6382491</v>
      </c>
      <c r="D10240">
        <v>12000</v>
      </c>
    </row>
    <row r="10241" spans="1:4" x14ac:dyDescent="0.25">
      <c r="A10241" t="str">
        <f>T("   530919")</f>
        <v xml:space="preserve">   530919</v>
      </c>
      <c r="B10241" t="str">
        <f>T("   Tissus de lin, contenant &gt;= 85% en poids de lin, teints ou en fils de diverses couleurs ou imprimés")</f>
        <v xml:space="preserve">   Tissus de lin, contenant &gt;= 85% en poids de lin, teints ou en fils de diverses couleurs ou imprimés</v>
      </c>
      <c r="C10241">
        <v>2434074</v>
      </c>
      <c r="D10241">
        <v>4466</v>
      </c>
    </row>
    <row r="10242" spans="1:4" x14ac:dyDescent="0.25">
      <c r="A10242" t="str">
        <f>T("   540710")</f>
        <v xml:space="preserve">   540710</v>
      </c>
      <c r="B10242" t="str">
        <f>T("   Tissus obtenus à partir de fils à haute ténacité de nylon ou d'autres polyamides ou de polyesters, y.c. les tissus obtenus à partir des monofilaments du n° 5404")</f>
        <v xml:space="preserve">   Tissus obtenus à partir de fils à haute ténacité de nylon ou d'autres polyamides ou de polyesters, y.c. les tissus obtenus à partir des monofilaments du n° 5404</v>
      </c>
      <c r="C10242">
        <v>54240000</v>
      </c>
      <c r="D10242">
        <v>93830</v>
      </c>
    </row>
    <row r="10243" spans="1:4" x14ac:dyDescent="0.25">
      <c r="A10243" t="str">
        <f>T("   540769")</f>
        <v xml:space="preserve">   540769</v>
      </c>
      <c r="B10243" t="str">
        <f>T("   TISSUS OBTENUS À PARTIR DE FILS CONTENANT &gt;= 85% EN POIDS DE MÉLANGES DE FILAMENTS DE POLYESTER TEXTURÉS ET DE FILAMENTS DE POLYESTER NON-TEXTURÉS, Y.C. LES TISSUS OBTENUS À PARTIR DES MONOFILAMENTS DU N° 5404")</f>
        <v xml:space="preserve">   TISSUS OBTENUS À PARTIR DE FILS CONTENANT &gt;= 85% EN POIDS DE MÉLANGES DE FILAMENTS DE POLYESTER TEXTURÉS ET DE FILAMENTS DE POLYESTER NON-TEXTURÉS, Y.C. LES TISSUS OBTENUS À PARTIR DES MONOFILAMENTS DU N° 5404</v>
      </c>
      <c r="C10243">
        <v>697336</v>
      </c>
      <c r="D10243">
        <v>2800</v>
      </c>
    </row>
    <row r="10244" spans="1:4" x14ac:dyDescent="0.25">
      <c r="A10244" t="str">
        <f>T("   550820")</f>
        <v xml:space="preserve">   550820</v>
      </c>
      <c r="B10244" t="str">
        <f>T("   Fils à coudre de fibres artificielles discontinues, même conditionnés pour la vente au détail")</f>
        <v xml:space="preserve">   Fils à coudre de fibres artificielles discontinues, même conditionnés pour la vente au détail</v>
      </c>
      <c r="C10244">
        <v>147600</v>
      </c>
      <c r="D10244">
        <v>220</v>
      </c>
    </row>
    <row r="10245" spans="1:4" x14ac:dyDescent="0.25">
      <c r="A10245" t="str">
        <f>T("   551219")</f>
        <v xml:space="preserve">   551219</v>
      </c>
      <c r="B10245" t="str">
        <f>T("   Tissus, teints, imprimés ou en fils de diverses couleurs, de fibres discontinues de polyester, contenant &gt;= 85% en poids de ces fibres")</f>
        <v xml:space="preserve">   Tissus, teints, imprimés ou en fils de diverses couleurs, de fibres discontinues de polyester, contenant &gt;= 85% en poids de ces fibres</v>
      </c>
      <c r="C10245">
        <v>38095539</v>
      </c>
      <c r="D10245">
        <v>85279</v>
      </c>
    </row>
    <row r="10246" spans="1:4" x14ac:dyDescent="0.25">
      <c r="A10246" t="str">
        <f>T("   551429")</f>
        <v xml:space="preserve">   551429</v>
      </c>
      <c r="B10246" t="str">
        <f>T("   Tissus, teints, de fibres synthétiques discontinues, contenant en prédominance, mais &lt; 85% en poids de ces fibres, mélangés principalement ou uniquement avec du coton, d'un poids &gt; 170 g/m² (à l'excl. des tissus de fibres discontinues de polyester)")</f>
        <v xml:space="preserve">   Tissus, teints, de fibres synthétiques discontinues, contenant en prédominance, mais &lt; 85% en poids de ces fibres, mélangés principalement ou uniquement avec du coton, d'un poids &gt; 170 g/m² (à l'excl. des tissus de fibres discontinues de polyester)</v>
      </c>
      <c r="C10246">
        <v>39323</v>
      </c>
      <c r="D10246">
        <v>12</v>
      </c>
    </row>
    <row r="10247" spans="1:4" x14ac:dyDescent="0.25">
      <c r="A10247" t="str">
        <f>T("   551519")</f>
        <v xml:space="preserve">   551519</v>
      </c>
      <c r="B10247" t="s">
        <v>239</v>
      </c>
      <c r="C10247">
        <v>87384</v>
      </c>
      <c r="D10247">
        <v>110</v>
      </c>
    </row>
    <row r="10248" spans="1:4" x14ac:dyDescent="0.25">
      <c r="A10248" t="str">
        <f>T("   551529")</f>
        <v xml:space="preserve">   551529</v>
      </c>
      <c r="B10248" t="s">
        <v>240</v>
      </c>
      <c r="C10248">
        <v>18080000</v>
      </c>
      <c r="D10248">
        <v>41880</v>
      </c>
    </row>
    <row r="10249" spans="1:4" x14ac:dyDescent="0.25">
      <c r="A10249" t="str">
        <f>T("   551592")</f>
        <v xml:space="preserve">   551592</v>
      </c>
      <c r="B10249" t="s">
        <v>242</v>
      </c>
      <c r="C10249">
        <v>10096560</v>
      </c>
      <c r="D10249">
        <v>17160</v>
      </c>
    </row>
    <row r="10250" spans="1:4" x14ac:dyDescent="0.25">
      <c r="A10250" t="str">
        <f>T("   551599")</f>
        <v xml:space="preserve">   551599</v>
      </c>
      <c r="B10250" t="s">
        <v>243</v>
      </c>
      <c r="C10250">
        <v>6806551</v>
      </c>
      <c r="D10250">
        <v>13325</v>
      </c>
    </row>
    <row r="10251" spans="1:4" x14ac:dyDescent="0.25">
      <c r="A10251" t="str">
        <f>T("   560110")</f>
        <v xml:space="preserve">   560110</v>
      </c>
      <c r="B10251" t="str">
        <f>T("   Serviettes et tampons hygiéniques, couches pour bébés et articles hygiéniques simil., en ouates")</f>
        <v xml:space="preserve">   Serviettes et tampons hygiéniques, couches pour bébés et articles hygiéniques simil., en ouates</v>
      </c>
      <c r="C10251">
        <v>7132998</v>
      </c>
      <c r="D10251">
        <v>38185</v>
      </c>
    </row>
    <row r="10252" spans="1:4" x14ac:dyDescent="0.25">
      <c r="A10252" t="str">
        <f>T("   560394")</f>
        <v xml:space="preserve">   560394</v>
      </c>
      <c r="B10252" t="str">
        <f>T("   Nontissés, même imprégnés, enduits, recouverts ou stratifiés, n.d.a., d'un poids &gt; 150 g/m² (à l'excl. de filaments synthétiques ou artificiels)")</f>
        <v xml:space="preserve">   Nontissés, même imprégnés, enduits, recouverts ou stratifiés, n.d.a., d'un poids &gt; 150 g/m² (à l'excl. de filaments synthétiques ou artificiels)</v>
      </c>
      <c r="C10252">
        <v>408977</v>
      </c>
      <c r="D10252">
        <v>500</v>
      </c>
    </row>
    <row r="10253" spans="1:4" x14ac:dyDescent="0.25">
      <c r="A10253" t="str">
        <f>T("   560729")</f>
        <v xml:space="preserve">   560729</v>
      </c>
      <c r="B10253" t="str">
        <f>T("   Ficelles, cordes et cordages, de sisal ou d'autres fibres textiles du genre 'Agave', tressés ou non, même imprégnés, enduits, recouverts ou gainés de caoutchouc ou de matière plastique (à l'excl. des ficelles lieuses ou botteleuses)")</f>
        <v xml:space="preserve">   Ficelles, cordes et cordages, de sisal ou d'autres fibres textiles du genre 'Agave', tressés ou non, même imprégnés, enduits, recouverts ou gainés de caoutchouc ou de matière plastique (à l'excl. des ficelles lieuses ou botteleuses)</v>
      </c>
      <c r="C10253">
        <v>265683</v>
      </c>
      <c r="D10253">
        <v>460</v>
      </c>
    </row>
    <row r="10254" spans="1:4" x14ac:dyDescent="0.25">
      <c r="A10254" t="str">
        <f>T("   560749")</f>
        <v xml:space="preserve">   560749</v>
      </c>
      <c r="B10254" t="str">
        <f>T("   Ficelles, cordes et cordages, de polyéthylène ou de polypropylène, tressés ou non, même imprégnés, enduits, recouverts ou gainés de caoutchouc ou de matière plastique (à l'excl. les ficelles lieuses ou botteleuses)")</f>
        <v xml:space="preserve">   Ficelles, cordes et cordages, de polyéthylène ou de polypropylène, tressés ou non, même imprégnés, enduits, recouverts ou gainés de caoutchouc ou de matière plastique (à l'excl. les ficelles lieuses ou botteleuses)</v>
      </c>
      <c r="C10254">
        <v>1565738</v>
      </c>
      <c r="D10254">
        <v>12300</v>
      </c>
    </row>
    <row r="10255" spans="1:4" x14ac:dyDescent="0.25">
      <c r="A10255" t="str">
        <f>T("   560790")</f>
        <v xml:space="preserve">   560790</v>
      </c>
      <c r="B10255" t="str">
        <f>T("   FICELLES, CORDES ET CORDAGES, TRESSÉS OU NON, MÊME IMPRÉGNÉS, ENDUITS, RECOUVERTS OU GAINÉS DE CAOUTCHOUC OU DE MATIÈRE PLASTIQUE (À L'EXCL. DES PRODUITS DE FIBRES SYNTHÉTIQUES AINSI QUE DE SISAL OU D'AUTRES FIBRES TEXTILES DU GENRE 'AGAVE')")</f>
        <v xml:space="preserve">   FICELLES, CORDES ET CORDAGES, TRESSÉS OU NON, MÊME IMPRÉGNÉS, ENDUITS, RECOUVERTS OU GAINÉS DE CAOUTCHOUC OU DE MATIÈRE PLASTIQUE (À L'EXCL. DES PRODUITS DE FIBRES SYNTHÉTIQUES AINSI QUE DE SISAL OU D'AUTRES FIBRES TEXTILES DU GENRE 'AGAVE')</v>
      </c>
      <c r="C10255">
        <v>7499812</v>
      </c>
      <c r="D10255">
        <v>44385</v>
      </c>
    </row>
    <row r="10256" spans="1:4" x14ac:dyDescent="0.25">
      <c r="A10256" t="str">
        <f>T("   560811")</f>
        <v xml:space="preserve">   560811</v>
      </c>
      <c r="B10256" t="str">
        <f>T("   Filets confectionnés pour la pêche, à mailles nouées, en matières textiles synthétiques ou artificielles (à l'excl. des épuisettes)")</f>
        <v xml:space="preserve">   Filets confectionnés pour la pêche, à mailles nouées, en matières textiles synthétiques ou artificielles (à l'excl. des épuisettes)</v>
      </c>
      <c r="C10256">
        <v>7401707</v>
      </c>
      <c r="D10256">
        <v>79090</v>
      </c>
    </row>
    <row r="10257" spans="1:4" x14ac:dyDescent="0.25">
      <c r="A10257" t="str">
        <f>T("   560900")</f>
        <v xml:space="preserve">   560900</v>
      </c>
      <c r="B10257" t="str">
        <f>T("   Articles en fils, lames ou formes simil. du n° 5404 ou 5405, ficelles, cordes ou cordages du n° 5607, n.d.a.")</f>
        <v xml:space="preserve">   Articles en fils, lames ou formes simil. du n° 5404 ou 5405, ficelles, cordes ou cordages du n° 5607, n.d.a.</v>
      </c>
      <c r="C10257">
        <v>718806</v>
      </c>
      <c r="D10257">
        <v>13840</v>
      </c>
    </row>
    <row r="10258" spans="1:4" x14ac:dyDescent="0.25">
      <c r="A10258" t="str">
        <f>T("   570500")</f>
        <v xml:space="preserve">   570500</v>
      </c>
      <c r="B10258" t="str">
        <f>T("   Tapis et autres revêtements de sol en matières textiles, même confectionnés (à l'excl. à points noués ou enroulés, tissés, touffetés ou en feutre)")</f>
        <v xml:space="preserve">   Tapis et autres revêtements de sol en matières textiles, même confectionnés (à l'excl. à points noués ou enroulés, tissés, touffetés ou en feutre)</v>
      </c>
      <c r="C10258">
        <v>109230</v>
      </c>
      <c r="D10258">
        <v>140</v>
      </c>
    </row>
    <row r="10259" spans="1:4" x14ac:dyDescent="0.25">
      <c r="A10259" t="str">
        <f>T("   580110")</f>
        <v xml:space="preserve">   580110</v>
      </c>
      <c r="B10259" t="str">
        <f>T("   Velours et peluches tissés et tissus de chenille, de laine ou de poils fins (à l'excl. des tissus bouclés du genre éponge, des surfaces textiles touffetées ainsi que des articles de rubanerie du n° 5806)")</f>
        <v xml:space="preserve">   Velours et peluches tissés et tissus de chenille, de laine ou de poils fins (à l'excl. des tissus bouclés du genre éponge, des surfaces textiles touffetées ainsi que des articles de rubanerie du n° 5806)</v>
      </c>
      <c r="C10259">
        <v>12335</v>
      </c>
      <c r="D10259">
        <v>20</v>
      </c>
    </row>
    <row r="10260" spans="1:4" x14ac:dyDescent="0.25">
      <c r="A10260" t="str">
        <f>T("   580790")</f>
        <v xml:space="preserve">   580790</v>
      </c>
      <c r="B10260" t="str">
        <f>T("   ÉTIQUETTES, ÉCUSSONS ET ARTICLES SIMIL. EN MATIÈRES TEXTILES, EN PIÈCES, EN RUBANS OU DÉCOUPÉS, NON-BRODÉS (À L'EXCL. DES ARTICLES TISSÉS)")</f>
        <v xml:space="preserve">   ÉTIQUETTES, ÉCUSSONS ET ARTICLES SIMIL. EN MATIÈRES TEXTILES, EN PIÈCES, EN RUBANS OU DÉCOUPÉS, NON-BRODÉS (À L'EXCL. DES ARTICLES TISSÉS)</v>
      </c>
      <c r="C10260">
        <v>910766</v>
      </c>
      <c r="D10260">
        <v>14800</v>
      </c>
    </row>
    <row r="10261" spans="1:4" x14ac:dyDescent="0.25">
      <c r="A10261" t="str">
        <f>T("   581092")</f>
        <v xml:space="preserve">   581092</v>
      </c>
      <c r="B10261" t="str">
        <f>T("   Broderies de fibres synthétiques ou artificielles, sur support de matières textiles, en pièces, en bandes ou en motifs (à l'excl. des broderies chimiques ou aériennes ainsi que des broderies à fond découpé)")</f>
        <v xml:space="preserve">   Broderies de fibres synthétiques ou artificielles, sur support de matières textiles, en pièces, en bandes ou en motifs (à l'excl. des broderies chimiques ou aériennes ainsi que des broderies à fond découpé)</v>
      </c>
      <c r="C10261">
        <v>109230</v>
      </c>
      <c r="D10261">
        <v>300</v>
      </c>
    </row>
    <row r="10262" spans="1:4" x14ac:dyDescent="0.25">
      <c r="A10262" t="str">
        <f>T("   581099")</f>
        <v xml:space="preserve">   581099</v>
      </c>
      <c r="B10262" t="str">
        <f>T("   Broderies de matières textiles, sur support de matières textiles, en pièces, en bandes ou en motifs (à l'excl. des broderies en coton ou en fibres synthétiques ou artificielles, des broderies chimiques ou aériennes et des broderies à fond découpé)")</f>
        <v xml:space="preserve">   Broderies de matières textiles, sur support de matières textiles, en pièces, en bandes ou en motifs (à l'excl. des broderies en coton ou en fibres synthétiques ou artificielles, des broderies chimiques ou aériennes et des broderies à fond découpé)</v>
      </c>
      <c r="C10262">
        <v>921623</v>
      </c>
      <c r="D10262">
        <v>6750</v>
      </c>
    </row>
    <row r="10263" spans="1:4" x14ac:dyDescent="0.25">
      <c r="A10263" t="str">
        <f>T("   610220")</f>
        <v xml:space="preserve">   610220</v>
      </c>
      <c r="B10263" t="str">
        <f>T("   Manteaux, cabans, capes, anoraks, blousons et articles simil., en bonneterie, de coton, pour femmes ou fillettes (sauf costumes tailleurs, ensembles, vestes, blazers, robes, jupes, jupes-culottes et pantalons)")</f>
        <v xml:space="preserve">   Manteaux, cabans, capes, anoraks, blousons et articles simil., en bonneterie, de coton, pour femmes ou fillettes (sauf costumes tailleurs, ensembles, vestes, blazers, robes, jupes, jupes-culottes et pantalons)</v>
      </c>
      <c r="C10263">
        <v>190000</v>
      </c>
      <c r="D10263">
        <v>350</v>
      </c>
    </row>
    <row r="10264" spans="1:4" x14ac:dyDescent="0.25">
      <c r="A10264" t="str">
        <f>T("   610312")</f>
        <v xml:space="preserve">   610312</v>
      </c>
      <c r="B10264" t="str">
        <f>T("   Costumes ou complets en bonneterie, de fibres synthétiques, pour hommes ou garçonnets (sauf survêtements de sport 'trainings', combinaisons et ensembles de ski, maillots, culottes et slips de bain)")</f>
        <v xml:space="preserve">   Costumes ou complets en bonneterie, de fibres synthétiques, pour hommes ou garçonnets (sauf survêtements de sport 'trainings', combinaisons et ensembles de ski, maillots, culottes et slips de bain)</v>
      </c>
      <c r="C10264">
        <v>130000</v>
      </c>
      <c r="D10264">
        <v>40</v>
      </c>
    </row>
    <row r="10265" spans="1:4" x14ac:dyDescent="0.25">
      <c r="A10265" t="str">
        <f>T("   610349")</f>
        <v xml:space="preserve">   610349</v>
      </c>
      <c r="B10265" t="str">
        <f>T("   PANTALONS, Y.C. KNICKERS ET PANTALONS SIMIL., SALOPETTES À BRETELLES, CULOTTES ET SHORTS, EN BONNETERIE, DE MATIÈRES TEXTILES, POUR HOMMES OU GARÇONNETS (SAUF DE LAINE, POILS FINS, COTON OU FIBRES SYNTHÉTIQUES ET SAUF CALETHONS ET SLIPS DE BAIN)")</f>
        <v xml:space="preserve">   PANTALONS, Y.C. KNICKERS ET PANTALONS SIMIL., SALOPETTES À BRETELLES, CULOTTES ET SHORTS, EN BONNETERIE, DE MATIÈRES TEXTILES, POUR HOMMES OU GARÇONNETS (SAUF DE LAINE, POILS FINS, COTON OU FIBRES SYNTHÉTIQUES ET SAUF CALETHONS ET SLIPS DE BAIN)</v>
      </c>
      <c r="C10265">
        <v>6500000</v>
      </c>
      <c r="D10265">
        <v>12320</v>
      </c>
    </row>
    <row r="10266" spans="1:4" x14ac:dyDescent="0.25">
      <c r="A10266" t="str">
        <f>T("   610419")</f>
        <v xml:space="preserve">   610419</v>
      </c>
      <c r="B10266" t="str">
        <f>T("   COSTUMES TAILLEURS EN BONNETERIE, DE MATIÈRES TEXTILES, POUR FEMMES OU FILLETTES (SAUF DE FIBRES SYNTHÉTIQUES ET À L'EXCL. DES COMBINAISONS DE SKI ET MAILLOTS, DES CULOTTES ET SLIPS DE BAIN)")</f>
        <v xml:space="preserve">   COSTUMES TAILLEURS EN BONNETERIE, DE MATIÈRES TEXTILES, POUR FEMMES OU FILLETTES (SAUF DE FIBRES SYNTHÉTIQUES ET À L'EXCL. DES COMBINAISONS DE SKI ET MAILLOTS, DES CULOTTES ET SLIPS DE BAIN)</v>
      </c>
      <c r="C10266">
        <v>140077</v>
      </c>
      <c r="D10266">
        <v>500</v>
      </c>
    </row>
    <row r="10267" spans="1:4" x14ac:dyDescent="0.25">
      <c r="A10267" t="str">
        <f>T("   610520")</f>
        <v xml:space="preserve">   610520</v>
      </c>
      <c r="B10267" t="str">
        <f>T("   Chemises et chemisettes, en bonneterie, de fibres synthétiques ou artificielles, pour hommes ou garçonnets (sauf chemises de nuit, T-shirts et maillots de corps)")</f>
        <v xml:space="preserve">   Chemises et chemisettes, en bonneterie, de fibres synthétiques ou artificielles, pour hommes ou garçonnets (sauf chemises de nuit, T-shirts et maillots de corps)</v>
      </c>
      <c r="C10267">
        <v>130000</v>
      </c>
      <c r="D10267">
        <v>100</v>
      </c>
    </row>
    <row r="10268" spans="1:4" x14ac:dyDescent="0.25">
      <c r="A10268" t="str">
        <f>T("   610590")</f>
        <v xml:space="preserve">   610590</v>
      </c>
      <c r="B10268" t="str">
        <f>T("   Chemises et chemisettes, en bonneterie, de matières textiles, pour hommes ou garçonnets (sauf de coton, fibres synthétiques ou artificielles et sauf chemises de nuit, T-shirts et maillots de corps)")</f>
        <v xml:space="preserve">   Chemises et chemisettes, en bonneterie, de matières textiles, pour hommes ou garçonnets (sauf de coton, fibres synthétiques ou artificielles et sauf chemises de nuit, T-shirts et maillots de corps)</v>
      </c>
      <c r="C10268">
        <v>9435890</v>
      </c>
      <c r="D10268">
        <v>47520</v>
      </c>
    </row>
    <row r="10269" spans="1:4" x14ac:dyDescent="0.25">
      <c r="A10269" t="str">
        <f>T("   610719")</f>
        <v xml:space="preserve">   610719</v>
      </c>
      <c r="B10269" t="str">
        <f>T("   SLIPS ET CALETHONS, EN BONNETERIE, DE MATIÈRES TEXTILES, POUR HOMMES OU GARÇONNETS (SAUF DE COTON OU FIBRES SYNTHÉTIQUES OU ARTIFICIELLES)")</f>
        <v xml:space="preserve">   SLIPS ET CALETHONS, EN BONNETERIE, DE MATIÈRES TEXTILES, POUR HOMMES OU GARÇONNETS (SAUF DE COTON OU FIBRES SYNTHÉTIQUES OU ARTIFICIELLES)</v>
      </c>
      <c r="C10269">
        <v>1115132</v>
      </c>
      <c r="D10269">
        <v>3700</v>
      </c>
    </row>
    <row r="10270" spans="1:4" x14ac:dyDescent="0.25">
      <c r="A10270" t="str">
        <f>T("   610811")</f>
        <v xml:space="preserve">   610811</v>
      </c>
      <c r="B10270" t="str">
        <f>T("   Combinaisons ou fonds de robes et jupons, de fibres synthétiques ou artificielles, en bonneterie, pour femmes ou fillettes (sauf T-shirts et gilets de corps)")</f>
        <v xml:space="preserve">   Combinaisons ou fonds de robes et jupons, de fibres synthétiques ou artificielles, en bonneterie, pour femmes ou fillettes (sauf T-shirts et gilets de corps)</v>
      </c>
      <c r="C10270">
        <v>3582183</v>
      </c>
      <c r="D10270">
        <v>7086</v>
      </c>
    </row>
    <row r="10271" spans="1:4" x14ac:dyDescent="0.25">
      <c r="A10271" t="str">
        <f>T("   610829")</f>
        <v xml:space="preserve">   610829</v>
      </c>
      <c r="B10271" t="str">
        <f>T("   Slips et culottes, en bonneterie, de matières textiles, pour femmes ou fillettes (sauf de coton ou fibres synthétiques ou artificielles)")</f>
        <v xml:space="preserve">   Slips et culottes, en bonneterie, de matières textiles, pour femmes ou fillettes (sauf de coton ou fibres synthétiques ou artificielles)</v>
      </c>
      <c r="C10271">
        <v>12993372</v>
      </c>
      <c r="D10271">
        <v>14412</v>
      </c>
    </row>
    <row r="10272" spans="1:4" x14ac:dyDescent="0.25">
      <c r="A10272" t="str">
        <f>T("   610910")</f>
        <v xml:space="preserve">   610910</v>
      </c>
      <c r="B10272" t="str">
        <f>T("   T-shirts et maillots de corps, en bonneterie, de coton,")</f>
        <v xml:space="preserve">   T-shirts et maillots de corps, en bonneterie, de coton,</v>
      </c>
      <c r="C10272">
        <v>8220396</v>
      </c>
      <c r="D10272">
        <v>7085</v>
      </c>
    </row>
    <row r="10273" spans="1:4" x14ac:dyDescent="0.25">
      <c r="A10273" t="str">
        <f>T("   610990")</f>
        <v xml:space="preserve">   610990</v>
      </c>
      <c r="B10273" t="str">
        <f>T("   T-shirts et maillots de corps, en bonneterie, de matières textiles (sauf de coton)")</f>
        <v xml:space="preserve">   T-shirts et maillots de corps, en bonneterie, de matières textiles (sauf de coton)</v>
      </c>
      <c r="C10273">
        <v>1018566580</v>
      </c>
      <c r="D10273">
        <v>3217298</v>
      </c>
    </row>
    <row r="10274" spans="1:4" x14ac:dyDescent="0.25">
      <c r="A10274" t="str">
        <f>T("   611190")</f>
        <v xml:space="preserve">   611190</v>
      </c>
      <c r="B10274" t="str">
        <f>T("   VÊTEMENTS ET ACCESSOIRES DU VÊTEMENT, EN BONNETERIE, DE MATIÈRES TEXTILES, POUR BÉBÉS (SAUF DE COTON, FIBRES SYNTHÉTIQUES ET SAUF BONNETS)")</f>
        <v xml:space="preserve">   VÊTEMENTS ET ACCESSOIRES DU VÊTEMENT, EN BONNETERIE, DE MATIÈRES TEXTILES, POUR BÉBÉS (SAUF DE COTON, FIBRES SYNTHÉTIQUES ET SAUF BONNETS)</v>
      </c>
      <c r="C10274">
        <v>60472000</v>
      </c>
      <c r="D10274">
        <v>167180</v>
      </c>
    </row>
    <row r="10275" spans="1:4" x14ac:dyDescent="0.25">
      <c r="A10275" t="str">
        <f>T("   611490")</f>
        <v xml:space="preserve">   611490</v>
      </c>
      <c r="B10275" t="str">
        <f>T("   Vêtements spéciaux destinés à des fins professionnelles, sportives ou autres n.d.a., en bonneterie, de matières textiles (sauf de laine, poils fins, coton, fibres synthétiques ou artificielles)")</f>
        <v xml:space="preserve">   Vêtements spéciaux destinés à des fins professionnelles, sportives ou autres n.d.a., en bonneterie, de matières textiles (sauf de laine, poils fins, coton, fibres synthétiques ou artificielles)</v>
      </c>
      <c r="C10275">
        <v>210340430</v>
      </c>
      <c r="D10275">
        <v>481023</v>
      </c>
    </row>
    <row r="10276" spans="1:4" x14ac:dyDescent="0.25">
      <c r="A10276" t="str">
        <f>T("   611710")</f>
        <v xml:space="preserve">   611710</v>
      </c>
      <c r="B10276" t="str">
        <f>T("   Châles, écharpes, foulards, cache-nez, cache-col, mantilles, voiles, voilettes et articles simil., en bonneterie")</f>
        <v xml:space="preserve">   Châles, écharpes, foulards, cache-nez, cache-col, mantilles, voiles, voilettes et articles simil., en bonneterie</v>
      </c>
      <c r="C10276">
        <v>36000</v>
      </c>
      <c r="D10276">
        <v>60</v>
      </c>
    </row>
    <row r="10277" spans="1:4" x14ac:dyDescent="0.25">
      <c r="A10277" t="str">
        <f>T("   620319")</f>
        <v xml:space="preserve">   620319</v>
      </c>
      <c r="B10277" t="s">
        <v>265</v>
      </c>
      <c r="C10277">
        <v>49692</v>
      </c>
      <c r="D10277">
        <v>55</v>
      </c>
    </row>
    <row r="10278" spans="1:4" x14ac:dyDescent="0.25">
      <c r="A10278" t="str">
        <f>T("   620322")</f>
        <v xml:space="preserve">   620322</v>
      </c>
      <c r="B10278" t="str">
        <f>T("   Ensembles de coton, pour hommes ou garçonnets (autres qu'en bonneterie et sauf ensembles de ski et maillots, culottes et slips de bain)")</f>
        <v xml:space="preserve">   Ensembles de coton, pour hommes ou garçonnets (autres qu'en bonneterie et sauf ensembles de ski et maillots, culottes et slips de bain)</v>
      </c>
      <c r="C10278">
        <v>1896</v>
      </c>
      <c r="D10278">
        <v>19.399999999999999</v>
      </c>
    </row>
    <row r="10279" spans="1:4" x14ac:dyDescent="0.25">
      <c r="A10279" t="str">
        <f>T("   620342")</f>
        <v xml:space="preserve">   620342</v>
      </c>
      <c r="B10279" t="str">
        <f>T("   Pantalons, y.c. knickers et pantalons simil., salopettes à bretelles, culottes et shorts, de coton, pour hommes ou garçonnets (autres qu'en bonneterie et sauf slips et caleçons ainsi que maillots, culottes et slips de bain)")</f>
        <v xml:space="preserve">   Pantalons, y.c. knickers et pantalons simil., salopettes à bretelles, culottes et shorts, de coton, pour hommes ou garçonnets (autres qu'en bonneterie et sauf slips et caleçons ainsi que maillots, culottes et slips de bain)</v>
      </c>
      <c r="C10279">
        <v>50807895</v>
      </c>
      <c r="D10279">
        <v>96000</v>
      </c>
    </row>
    <row r="10280" spans="1:4" x14ac:dyDescent="0.25">
      <c r="A10280" t="str">
        <f>T("   620520")</f>
        <v xml:space="preserve">   620520</v>
      </c>
      <c r="B10280" t="str">
        <f>T("   Chemises et chemisettes, de coton, pour hommes ou garçonnets (autres qu'en bonneterie et sauf chemises de nuit et gilets de corps)")</f>
        <v xml:space="preserve">   Chemises et chemisettes, de coton, pour hommes ou garçonnets (autres qu'en bonneterie et sauf chemises de nuit et gilets de corps)</v>
      </c>
      <c r="C10280">
        <v>7572648</v>
      </c>
      <c r="D10280">
        <v>17810</v>
      </c>
    </row>
    <row r="10281" spans="1:4" x14ac:dyDescent="0.25">
      <c r="A10281" t="str">
        <f>T("   620590")</f>
        <v xml:space="preserve">   620590</v>
      </c>
      <c r="B10281"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0281">
        <v>14514718</v>
      </c>
      <c r="D10281">
        <v>25000</v>
      </c>
    </row>
    <row r="10282" spans="1:4" x14ac:dyDescent="0.25">
      <c r="A10282" t="str">
        <f>T("   620711")</f>
        <v xml:space="preserve">   620711</v>
      </c>
      <c r="B10282" t="str">
        <f>T("   SLIPS ET CALETHONS, DE COTON, POUR HOMMES OU GARÇONNETS (AUTRES QU'EN BONNETERIE)")</f>
        <v xml:space="preserve">   SLIPS ET CALETHONS, DE COTON, POUR HOMMES OU GARÇONNETS (AUTRES QU'EN BONNETERIE)</v>
      </c>
      <c r="C10282">
        <v>1500000</v>
      </c>
      <c r="D10282">
        <v>9000</v>
      </c>
    </row>
    <row r="10283" spans="1:4" x14ac:dyDescent="0.25">
      <c r="A10283" t="str">
        <f>T("   620899")</f>
        <v xml:space="preserve">   620899</v>
      </c>
      <c r="B10283" t="s">
        <v>270</v>
      </c>
      <c r="C10283">
        <v>2374176</v>
      </c>
      <c r="D10283">
        <v>3077</v>
      </c>
    </row>
    <row r="10284" spans="1:4" x14ac:dyDescent="0.25">
      <c r="A10284" t="str">
        <f>T("   620990")</f>
        <v xml:space="preserve">   620990</v>
      </c>
      <c r="B10284" t="str">
        <f>T("   VÊTEMENTS ET ACCESSOIRES DU VÊTEMENT, DE MATIÈRES TEXTILES, POUR BÉBÉS (AUTRES QUE DE COTON, FIBRES SYNTHÉTIQUES, AUTRES QU'EN BONNETERIE ET SAUF BONNETS)")</f>
        <v xml:space="preserve">   VÊTEMENTS ET ACCESSOIRES DU VÊTEMENT, DE MATIÈRES TEXTILES, POUR BÉBÉS (AUTRES QUE DE COTON, FIBRES SYNTHÉTIQUES, AUTRES QU'EN BONNETERIE ET SAUF BONNETS)</v>
      </c>
      <c r="C10284">
        <v>2000000</v>
      </c>
      <c r="D10284">
        <v>5400</v>
      </c>
    </row>
    <row r="10285" spans="1:4" x14ac:dyDescent="0.25">
      <c r="A10285" t="str">
        <f>T("   621040")</f>
        <v xml:space="preserve">   621040</v>
      </c>
      <c r="B10285" t="s">
        <v>271</v>
      </c>
      <c r="C10285">
        <v>7258317</v>
      </c>
      <c r="D10285">
        <v>16800</v>
      </c>
    </row>
    <row r="10286" spans="1:4" x14ac:dyDescent="0.25">
      <c r="A10286" t="str">
        <f>T("   621050")</f>
        <v xml:space="preserve">   621050</v>
      </c>
      <c r="B10286" t="s">
        <v>272</v>
      </c>
      <c r="C10286">
        <v>2777294</v>
      </c>
      <c r="D10286">
        <v>5380</v>
      </c>
    </row>
    <row r="10287" spans="1:4" x14ac:dyDescent="0.25">
      <c r="A10287" t="str">
        <f>T("   621210")</f>
        <v xml:space="preserve">   621210</v>
      </c>
      <c r="B10287" t="str">
        <f>T("   Soutiens-gorge et bustiers en tous types de matières textiles, même élastiques et même en bonneterie")</f>
        <v xml:space="preserve">   Soutiens-gorge et bustiers en tous types de matières textiles, même élastiques et même en bonneterie</v>
      </c>
      <c r="C10287">
        <v>13002037</v>
      </c>
      <c r="D10287">
        <v>30146</v>
      </c>
    </row>
    <row r="10288" spans="1:4" x14ac:dyDescent="0.25">
      <c r="A10288" t="str">
        <f>T("   621390")</f>
        <v xml:space="preserve">   621390</v>
      </c>
      <c r="B10288" t="str">
        <f>T("   Mouchoirs et pochettes dont un côté &lt;= 60 cm, de matières textiles (autres que de soie et déchets de soie ou coton, autres qu'en bonneterie)")</f>
        <v xml:space="preserve">   Mouchoirs et pochettes dont un côté &lt;= 60 cm, de matières textiles (autres que de soie et déchets de soie ou coton, autres qu'en bonneterie)</v>
      </c>
      <c r="C10288">
        <v>1035730</v>
      </c>
      <c r="D10288">
        <v>6000</v>
      </c>
    </row>
    <row r="10289" spans="1:4" x14ac:dyDescent="0.25">
      <c r="A10289" t="str">
        <f>T("   621410")</f>
        <v xml:space="preserve">   621410</v>
      </c>
      <c r="B10289" t="str">
        <f>T("   Châles, écharpes, foulards, cache-nez, cache-col, mantilles, voiles et voilettes et articles simil., de soie ou de déchets de soie (autres qu'en bonneterie)")</f>
        <v xml:space="preserve">   Châles, écharpes, foulards, cache-nez, cache-col, mantilles, voiles et voilettes et articles simil., de soie ou de déchets de soie (autres qu'en bonneterie)</v>
      </c>
      <c r="C10289">
        <v>5059</v>
      </c>
      <c r="D10289">
        <v>51.73</v>
      </c>
    </row>
    <row r="10290" spans="1:4" x14ac:dyDescent="0.25">
      <c r="A10290" t="str">
        <f>T("   621430")</f>
        <v xml:space="preserve">   621430</v>
      </c>
      <c r="B10290" t="str">
        <f>T("   Châles, écharpes, foulards, cache-nez, cache-col, mantilles, voiles et voilettes et articles simil., de fibres synthétiques (autres qu'en bonneterie)")</f>
        <v xml:space="preserve">   Châles, écharpes, foulards, cache-nez, cache-col, mantilles, voiles et voilettes et articles simil., de fibres synthétiques (autres qu'en bonneterie)</v>
      </c>
      <c r="C10290">
        <v>15000</v>
      </c>
      <c r="D10290">
        <v>15</v>
      </c>
    </row>
    <row r="10291" spans="1:4" x14ac:dyDescent="0.25">
      <c r="A10291" t="str">
        <f>T("   621490")</f>
        <v xml:space="preserve">   621490</v>
      </c>
      <c r="B10291" t="str">
        <f>T("   Châles, écharpes, foulards, cache-nez, cache-col, mantilles, voiles et voilettes et articles simil., de matières textiles (autres que de laine, poils fins, fibres synthétiques ou artificielles, soie et déchets de soie et autres qu'en bonneterie)")</f>
        <v xml:space="preserve">   Châles, écharpes, foulards, cache-nez, cache-col, mantilles, voiles et voilettes et articles simil., de matières textiles (autres que de laine, poils fins, fibres synthétiques ou artificielles, soie et déchets de soie et autres qu'en bonneterie)</v>
      </c>
      <c r="C10291">
        <v>21200000</v>
      </c>
      <c r="D10291">
        <v>61544</v>
      </c>
    </row>
    <row r="10292" spans="1:4" x14ac:dyDescent="0.25">
      <c r="A10292" t="str">
        <f>T("   621590")</f>
        <v xml:space="preserve">   621590</v>
      </c>
      <c r="B10292" t="str">
        <f>T("   Cravates, noeuds papillons et foulards cravates, de matières textiles (autres que fibres synthétiques ou artificielles, soie et déchets de soie et autres qu'en bonneterie)")</f>
        <v xml:space="preserve">   Cravates, noeuds papillons et foulards cravates, de matières textiles (autres que fibres synthétiques ou artificielles, soie et déchets de soie et autres qu'en bonneterie)</v>
      </c>
      <c r="C10292">
        <v>25494</v>
      </c>
      <c r="D10292">
        <v>5</v>
      </c>
    </row>
    <row r="10293" spans="1:4" x14ac:dyDescent="0.25">
      <c r="A10293" t="str">
        <f>T("   621710")</f>
        <v xml:space="preserve">   621710</v>
      </c>
      <c r="B10293" t="str">
        <f>T("   Accessoires confectionnés du vêtement en tous types de matières textiles, n.d.a. (autres qu'en bonneterie)")</f>
        <v xml:space="preserve">   Accessoires confectionnés du vêtement en tous types de matières textiles, n.d.a. (autres qu'en bonneterie)</v>
      </c>
      <c r="C10293">
        <v>81938</v>
      </c>
      <c r="D10293">
        <v>240</v>
      </c>
    </row>
    <row r="10294" spans="1:4" x14ac:dyDescent="0.25">
      <c r="A10294" t="str">
        <f>T("   630110")</f>
        <v xml:space="preserve">   630110</v>
      </c>
      <c r="B10294" t="str">
        <f>T("   Couvertures chauffantes électriques en tous types de matières textiles")</f>
        <v xml:space="preserve">   Couvertures chauffantes électriques en tous types de matières textiles</v>
      </c>
      <c r="C10294">
        <v>218460</v>
      </c>
      <c r="D10294">
        <v>550</v>
      </c>
    </row>
    <row r="10295" spans="1:4" x14ac:dyDescent="0.25">
      <c r="A10295" t="str">
        <f>T("   630229")</f>
        <v xml:space="preserve">   630229</v>
      </c>
      <c r="B10295" t="str">
        <f>T("   Linge de lit, de matières textiles, imprimé (autre que de coton, fibres synthétiques ou artificielles, autres qu'en bonneterie)")</f>
        <v xml:space="preserve">   Linge de lit, de matières textiles, imprimé (autre que de coton, fibres synthétiques ou artificielles, autres qu'en bonneterie)</v>
      </c>
      <c r="C10295">
        <v>9000000</v>
      </c>
      <c r="D10295">
        <v>28301</v>
      </c>
    </row>
    <row r="10296" spans="1:4" x14ac:dyDescent="0.25">
      <c r="A10296" t="str">
        <f>T("   630231")</f>
        <v xml:space="preserve">   630231</v>
      </c>
      <c r="B10296" t="str">
        <f>T("   Linge de lit de coton (autre qu'imprimé, autre qu'en bonneterie)")</f>
        <v xml:space="preserve">   Linge de lit de coton (autre qu'imprimé, autre qu'en bonneterie)</v>
      </c>
      <c r="C10296">
        <v>157500</v>
      </c>
      <c r="D10296">
        <v>30</v>
      </c>
    </row>
    <row r="10297" spans="1:4" x14ac:dyDescent="0.25">
      <c r="A10297" t="str">
        <f>T("   630399")</f>
        <v xml:space="preserve">   630399</v>
      </c>
      <c r="B10297" t="str">
        <f>T("   Vitrages, rideaux et stores d'intérieur ainsi que cantonnières et tours de lit, de matières textiles (autres que de coton et fibres synthétiques, autres qu'en bonneterie et autres que stores d'extérieur)")</f>
        <v xml:space="preserve">   Vitrages, rideaux et stores d'intérieur ainsi que cantonnières et tours de lit, de matières textiles (autres que de coton et fibres synthétiques, autres qu'en bonneterie et autres que stores d'extérieur)</v>
      </c>
      <c r="C10297">
        <v>821999</v>
      </c>
      <c r="D10297">
        <v>930</v>
      </c>
    </row>
    <row r="10298" spans="1:4" x14ac:dyDescent="0.25">
      <c r="A10298" t="str">
        <f>T("   630510")</f>
        <v xml:space="preserve">   630510</v>
      </c>
      <c r="B10298" t="str">
        <f>T("   Sacs et sachets d'emballage de jute ou d'autres fibres textiles libériennes du n° 5303")</f>
        <v xml:space="preserve">   Sacs et sachets d'emballage de jute ou d'autres fibres textiles libériennes du n° 5303</v>
      </c>
      <c r="C10298">
        <v>16147331</v>
      </c>
      <c r="D10298">
        <v>242630</v>
      </c>
    </row>
    <row r="10299" spans="1:4" x14ac:dyDescent="0.25">
      <c r="A10299" t="str">
        <f>T("   630533")</f>
        <v xml:space="preserve">   630533</v>
      </c>
      <c r="B10299" t="str">
        <f>T("   Sacs et sachets d'emballage obtenus à partir de lames ou formes simil., de polyéthylène ou polypropylène (à l'excl. des contenants souples pour matières en vrac)")</f>
        <v xml:space="preserve">   Sacs et sachets d'emballage obtenus à partir de lames ou formes simil., de polyéthylène ou polypropylène (à l'excl. des contenants souples pour matières en vrac)</v>
      </c>
      <c r="C10299">
        <v>73934779</v>
      </c>
      <c r="D10299">
        <v>38912</v>
      </c>
    </row>
    <row r="10300" spans="1:4" x14ac:dyDescent="0.25">
      <c r="A10300" t="str">
        <f>T("   630539")</f>
        <v xml:space="preserve">   630539</v>
      </c>
      <c r="B10300" t="str">
        <f>T("   Sacs et sachets d'emballage de matières synthétiques ou artificielles (autres qu'en lames ou formes simil. de polyéthylène ou de polypropylène ainsi que contenants souples pour matières en vrac)")</f>
        <v xml:space="preserve">   Sacs et sachets d'emballage de matières synthétiques ou artificielles (autres qu'en lames ou formes simil. de polyéthylène ou de polypropylène ainsi que contenants souples pour matières en vrac)</v>
      </c>
      <c r="C10300">
        <v>6000000</v>
      </c>
      <c r="D10300">
        <v>21000</v>
      </c>
    </row>
    <row r="10301" spans="1:4" x14ac:dyDescent="0.25">
      <c r="A10301" t="str">
        <f>T("   630590")</f>
        <v xml:space="preserve">   630590</v>
      </c>
      <c r="B10301" t="str">
        <f>T("   Sacs et sachets d'emballage de matières textiles (autres qu'en matières textiles synthétiques ou artificielles, coton, jute ou autres fibres textiles libérienne du n° 5303)")</f>
        <v xml:space="preserve">   Sacs et sachets d'emballage de matières textiles (autres qu'en matières textiles synthétiques ou artificielles, coton, jute ou autres fibres textiles libérienne du n° 5303)</v>
      </c>
      <c r="C10301">
        <v>15429600</v>
      </c>
      <c r="D10301">
        <v>6370</v>
      </c>
    </row>
    <row r="10302" spans="1:4" x14ac:dyDescent="0.25">
      <c r="A10302" t="str">
        <f>T("   630622")</f>
        <v xml:space="preserve">   630622</v>
      </c>
      <c r="B10302" t="str">
        <f>T("   Tentes de fibres synthétiques (sauf paravents)")</f>
        <v xml:space="preserve">   Tentes de fibres synthétiques (sauf paravents)</v>
      </c>
      <c r="C10302">
        <v>43692</v>
      </c>
      <c r="D10302">
        <v>40</v>
      </c>
    </row>
    <row r="10303" spans="1:4" x14ac:dyDescent="0.25">
      <c r="A10303" t="str">
        <f>T("   630720")</f>
        <v xml:space="preserve">   630720</v>
      </c>
      <c r="B10303" t="str">
        <f>T("   Ceintures et gilets de sauvetage en tous types de matières textiles")</f>
        <v xml:space="preserve">   Ceintures et gilets de sauvetage en tous types de matières textiles</v>
      </c>
      <c r="C10303">
        <v>195062</v>
      </c>
      <c r="D10303">
        <v>170</v>
      </c>
    </row>
    <row r="10304" spans="1:4" x14ac:dyDescent="0.25">
      <c r="A10304" t="str">
        <f>T("   630900")</f>
        <v xml:space="preserve">   630900</v>
      </c>
      <c r="B10304" t="s">
        <v>278</v>
      </c>
      <c r="C10304">
        <v>911870834</v>
      </c>
      <c r="D10304">
        <v>3176561</v>
      </c>
    </row>
    <row r="10305" spans="1:4" x14ac:dyDescent="0.25">
      <c r="A10305" t="str">
        <f>T("   631090")</f>
        <v xml:space="preserve">   631090</v>
      </c>
      <c r="B10305" t="str">
        <f>T("   Chiffons en tous types de matières textiles ainsi que ficelles, cordes et cordages et articles composés de ceux-ci, de matières textiles, sous forme de déchets ou d'articles hors d'usage, non triés")</f>
        <v xml:space="preserve">   Chiffons en tous types de matières textiles ainsi que ficelles, cordes et cordages et articles composés de ceux-ci, de matières textiles, sous forme de déchets ou d'articles hors d'usage, non triés</v>
      </c>
      <c r="C10305">
        <v>43692</v>
      </c>
      <c r="D10305">
        <v>200</v>
      </c>
    </row>
    <row r="10306" spans="1:4" x14ac:dyDescent="0.25">
      <c r="A10306" t="str">
        <f>T("   640191")</f>
        <v xml:space="preserve">   640191</v>
      </c>
      <c r="B10306" t="s">
        <v>279</v>
      </c>
      <c r="C10306">
        <v>432199</v>
      </c>
      <c r="D10306">
        <v>220</v>
      </c>
    </row>
    <row r="10307" spans="1:4" x14ac:dyDescent="0.25">
      <c r="A10307" t="str">
        <f>T("   640199")</f>
        <v xml:space="preserve">   640199</v>
      </c>
      <c r="B10307" t="s">
        <v>279</v>
      </c>
      <c r="C10307">
        <v>5500000</v>
      </c>
      <c r="D10307">
        <v>7840</v>
      </c>
    </row>
    <row r="10308" spans="1:4" x14ac:dyDescent="0.25">
      <c r="A10308" t="str">
        <f>T("   640212")</f>
        <v xml:space="preserve">   640212</v>
      </c>
      <c r="B10308" t="str">
        <f>T("   Chaussures de ski et chaussures pour le surf des neiges, à semelles extérieures et dessus en caoutchouc ou en matière plastique (sauf chaussures étanches du n° 6401)")</f>
        <v xml:space="preserve">   Chaussures de ski et chaussures pour le surf des neiges, à semelles extérieures et dessus en caoutchouc ou en matière plastique (sauf chaussures étanches du n° 6401)</v>
      </c>
      <c r="C10308">
        <v>324149</v>
      </c>
      <c r="D10308">
        <v>1440</v>
      </c>
    </row>
    <row r="10309" spans="1:4" x14ac:dyDescent="0.25">
      <c r="A10309" t="str">
        <f>T("   640220")</f>
        <v xml:space="preserve">   640220</v>
      </c>
      <c r="B10309" t="str">
        <f>T("   Chaussures à semelles extérieures et dessus en caoutchouc ou en matière plastique, à dessus en lanières ou brides fixées à la semelle par des tétons (sauf chaussures ayant le caractère de jouets)")</f>
        <v xml:space="preserve">   Chaussures à semelles extérieures et dessus en caoutchouc ou en matière plastique, à dessus en lanières ou brides fixées à la semelle par des tétons (sauf chaussures ayant le caractère de jouets)</v>
      </c>
      <c r="C10309">
        <v>243690587</v>
      </c>
      <c r="D10309">
        <v>845881</v>
      </c>
    </row>
    <row r="10310" spans="1:4" x14ac:dyDescent="0.25">
      <c r="A10310" t="str">
        <f>T("   640230")</f>
        <v xml:space="preserve">   640230</v>
      </c>
      <c r="B10310" t="s">
        <v>282</v>
      </c>
      <c r="C10310">
        <v>108050</v>
      </c>
      <c r="D10310">
        <v>460</v>
      </c>
    </row>
    <row r="10311" spans="1:4" x14ac:dyDescent="0.25">
      <c r="A10311" t="str">
        <f>T("   640291")</f>
        <v xml:space="preserve">   640291</v>
      </c>
      <c r="B10311" t="str">
        <f>T("   CHAUSSURES À SEMELLES EXTÉRIEURES ET DESSUS EN CAOUTCHOUC OU EN MATIÈRES PLASTIQUES, COUVRANT LA CHEVILLE (SAUF CHAUSSURES ÉTANCHES DU N° 6401, CHAUSSURES D'ORTHOPÉDIE ET DE SPORT ET CHAUSSURES AYANT LE CARACTÈRE DE JOUETS)")</f>
        <v xml:space="preserve">   CHAUSSURES À SEMELLES EXTÉRIEURES ET DESSUS EN CAOUTCHOUC OU EN MATIÈRES PLASTIQUES, COUVRANT LA CHEVILLE (SAUF CHAUSSURES ÉTANCHES DU N° 6401, CHAUSSURES D'ORTHOPÉDIE ET DE SPORT ET CHAUSSURES AYANT LE CARACTÈRE DE JOUETS)</v>
      </c>
      <c r="C10311">
        <v>108050</v>
      </c>
      <c r="D10311">
        <v>380</v>
      </c>
    </row>
    <row r="10312" spans="1:4" x14ac:dyDescent="0.25">
      <c r="A10312" t="str">
        <f>T("   640299")</f>
        <v xml:space="preserve">   640299</v>
      </c>
      <c r="B10312" t="s">
        <v>283</v>
      </c>
      <c r="C10312">
        <v>22465116</v>
      </c>
      <c r="D10312">
        <v>119120</v>
      </c>
    </row>
    <row r="10313" spans="1:4" x14ac:dyDescent="0.25">
      <c r="A10313" t="str">
        <f>T("   640319")</f>
        <v xml:space="preserve">   640319</v>
      </c>
      <c r="B10313" t="s">
        <v>284</v>
      </c>
      <c r="C10313">
        <v>1395442</v>
      </c>
      <c r="D10313">
        <v>1905</v>
      </c>
    </row>
    <row r="10314" spans="1:4" x14ac:dyDescent="0.25">
      <c r="A10314" t="str">
        <f>T("   640411")</f>
        <v xml:space="preserve">   640411</v>
      </c>
      <c r="B10314" t="str">
        <f>T("   Chaussures de sport, y.c. chaussures dites de tennis, de basket-ball, de gymnastique, d'entraînement et chaussures simil., à semelles extérieures en caoutchouc ou en matière plastique, à dessus en matières textiles")</f>
        <v xml:space="preserve">   Chaussures de sport, y.c. chaussures dites de tennis, de basket-ball, de gymnastique, d'entraînement et chaussures simil., à semelles extérieures en caoutchouc ou en matière plastique, à dessus en matières textiles</v>
      </c>
      <c r="C10314">
        <v>100000</v>
      </c>
      <c r="D10314">
        <v>90</v>
      </c>
    </row>
    <row r="10315" spans="1:4" x14ac:dyDescent="0.25">
      <c r="A10315" t="str">
        <f>T("   640419")</f>
        <v xml:space="preserve">   640419</v>
      </c>
      <c r="B10315" t="s">
        <v>288</v>
      </c>
      <c r="C10315">
        <v>10728795</v>
      </c>
      <c r="D10315">
        <v>34957</v>
      </c>
    </row>
    <row r="10316" spans="1:4" x14ac:dyDescent="0.25">
      <c r="A10316" t="str">
        <f>T("   640420")</f>
        <v xml:space="preserve">   640420</v>
      </c>
      <c r="B10316" t="str">
        <f>T("   Chaussures à semelles extérieures en cuir naturel ou reconstitué, à dessus en matières textiles (sauf chaussures ayant le caractère de jouets)")</f>
        <v xml:space="preserve">   Chaussures à semelles extérieures en cuir naturel ou reconstitué, à dessus en matières textiles (sauf chaussures ayant le caractère de jouets)</v>
      </c>
      <c r="C10316">
        <v>649479</v>
      </c>
      <c r="D10316">
        <v>1400</v>
      </c>
    </row>
    <row r="10317" spans="1:4" x14ac:dyDescent="0.25">
      <c r="A10317" t="str">
        <f>T("   640590")</f>
        <v xml:space="preserve">   640590</v>
      </c>
      <c r="B10317" t="s">
        <v>289</v>
      </c>
      <c r="C10317">
        <v>705264110</v>
      </c>
      <c r="D10317">
        <v>2363779</v>
      </c>
    </row>
    <row r="10318" spans="1:4" x14ac:dyDescent="0.25">
      <c r="A10318" t="str">
        <f>T("   650100")</f>
        <v xml:space="preserve">   650100</v>
      </c>
      <c r="B10318" t="str">
        <f>T("   Cloches non dressées -mises en forme- ni tournurées -mises en tournure-, en feutre, plateaux - disques-, manchons -cylindres- même fendus dans le sens de la hauteur, en feutre, pour chapeaux")</f>
        <v xml:space="preserve">   Cloches non dressées -mises en forme- ni tournurées -mises en tournure-, en feutre, plateaux - disques-, manchons -cylindres- même fendus dans le sens de la hauteur, en feutre, pour chapeaux</v>
      </c>
      <c r="C10318">
        <v>145455</v>
      </c>
      <c r="D10318">
        <v>175</v>
      </c>
    </row>
    <row r="10319" spans="1:4" x14ac:dyDescent="0.25">
      <c r="A10319" t="str">
        <f>T("   650300")</f>
        <v xml:space="preserve">   650300</v>
      </c>
      <c r="B10319" t="str">
        <f>T("   Chapeaux et autres coiffures en feutre, fabriqués à l'aide des cloches ou des plateaux du n° 6501, même garnis (sauf ceux fabriqués par l'assemblage de bandes ou de pièces en feutre ou ayant le caractère de jouets ou d'articles de carnaval)")</f>
        <v xml:space="preserve">   Chapeaux et autres coiffures en feutre, fabriqués à l'aide des cloches ou des plateaux du n° 6501, même garnis (sauf ceux fabriqués par l'assemblage de bandes ou de pièces en feutre ou ayant le caractère de jouets ou d'articles de carnaval)</v>
      </c>
      <c r="C10319">
        <v>49334</v>
      </c>
      <c r="D10319">
        <v>50</v>
      </c>
    </row>
    <row r="10320" spans="1:4" x14ac:dyDescent="0.25">
      <c r="A10320" t="str">
        <f>T("   650590")</f>
        <v xml:space="preserve">   650590</v>
      </c>
      <c r="B10320" t="s">
        <v>290</v>
      </c>
      <c r="C10320">
        <v>871341</v>
      </c>
      <c r="D10320">
        <v>3912</v>
      </c>
    </row>
    <row r="10321" spans="1:4" x14ac:dyDescent="0.25">
      <c r="A10321" t="str">
        <f>T("   650610")</f>
        <v xml:space="preserve">   650610</v>
      </c>
      <c r="B10321" t="str">
        <f>T("   Coiffures de sécurité, même garnies")</f>
        <v xml:space="preserve">   Coiffures de sécurité, même garnies</v>
      </c>
      <c r="C10321">
        <v>936364</v>
      </c>
      <c r="D10321">
        <v>720</v>
      </c>
    </row>
    <row r="10322" spans="1:4" x14ac:dyDescent="0.25">
      <c r="A10322" t="str">
        <f>T("   660199")</f>
        <v xml:space="preserve">   660199</v>
      </c>
      <c r="B10322" t="str">
        <f>T("   Parapluies, y.c. les parapluies-cannes et ombrelles (sauf parapluies et ombrelles à mât ou à manche télescopique, parasols de jardin et articles simil. et sauf jouets d'enfants)")</f>
        <v xml:space="preserve">   Parapluies, y.c. les parapluies-cannes et ombrelles (sauf parapluies et ombrelles à mât ou à manche télescopique, parasols de jardin et articles simil. et sauf jouets d'enfants)</v>
      </c>
      <c r="C10322">
        <v>300000</v>
      </c>
      <c r="D10322">
        <v>159</v>
      </c>
    </row>
    <row r="10323" spans="1:4" x14ac:dyDescent="0.25">
      <c r="A10323" t="str">
        <f>T("   660320")</f>
        <v xml:space="preserve">   660320</v>
      </c>
      <c r="B10323" t="str">
        <f>T("   Montures assemblées, même avec mâts ou manches, reconnaissables comme étant destinées aux parapluies, ombrelles ou parasols du n° 6601")</f>
        <v xml:space="preserve">   Montures assemblées, même avec mâts ou manches, reconnaissables comme étant destinées aux parapluies, ombrelles ou parasols du n° 6601</v>
      </c>
      <c r="C10323">
        <v>633806</v>
      </c>
      <c r="D10323">
        <v>675</v>
      </c>
    </row>
    <row r="10324" spans="1:4" x14ac:dyDescent="0.25">
      <c r="A10324" t="str">
        <f>T("   670420")</f>
        <v xml:space="preserve">   670420</v>
      </c>
      <c r="B10324" t="str">
        <f>T("   Perruques, barbes, sourcils, cils, mèches et articles simil., en cheveux; ouvrages en cheveux n.d.a.")</f>
        <v xml:space="preserve">   Perruques, barbes, sourcils, cils, mèches et articles simil., en cheveux; ouvrages en cheveux n.d.a.</v>
      </c>
      <c r="C10324">
        <v>23388759</v>
      </c>
      <c r="D10324">
        <v>76295</v>
      </c>
    </row>
    <row r="10325" spans="1:4" x14ac:dyDescent="0.25">
      <c r="A10325" t="str">
        <f>T("   670490")</f>
        <v xml:space="preserve">   670490</v>
      </c>
      <c r="B10325" t="str">
        <f>T("   Perruques, barbes, sourcils, cils, mèches et articles simil., en poils ou matières textiles (sauf matières textiles synthétiques)")</f>
        <v xml:space="preserve">   Perruques, barbes, sourcils, cils, mèches et articles simil., en poils ou matières textiles (sauf matières textiles synthétiques)</v>
      </c>
      <c r="C10325">
        <v>3500000</v>
      </c>
      <c r="D10325">
        <v>14280</v>
      </c>
    </row>
    <row r="10326" spans="1:4" x14ac:dyDescent="0.25">
      <c r="A10326" t="str">
        <f>T("   680221")</f>
        <v xml:space="preserve">   680221</v>
      </c>
      <c r="B10326" t="s">
        <v>293</v>
      </c>
      <c r="C10326">
        <v>285960</v>
      </c>
      <c r="D10326">
        <v>550</v>
      </c>
    </row>
    <row r="10327" spans="1:4" x14ac:dyDescent="0.25">
      <c r="A10327" t="str">
        <f>T("   680229")</f>
        <v xml:space="preserve">   680229</v>
      </c>
      <c r="B10327" t="s">
        <v>294</v>
      </c>
      <c r="C10327">
        <v>2000000</v>
      </c>
      <c r="D10327">
        <v>3000</v>
      </c>
    </row>
    <row r="10328" spans="1:4" x14ac:dyDescent="0.25">
      <c r="A10328" t="str">
        <f>T("   680299")</f>
        <v xml:space="preserve">   680299</v>
      </c>
      <c r="B10328" t="s">
        <v>296</v>
      </c>
      <c r="C10328">
        <v>792820</v>
      </c>
      <c r="D10328">
        <v>2170</v>
      </c>
    </row>
    <row r="10329" spans="1:4" x14ac:dyDescent="0.25">
      <c r="A10329" t="str">
        <f>T("   680520")</f>
        <v xml:space="preserve">   680520</v>
      </c>
      <c r="B10329" t="str">
        <f>T("   ABRASIFS NATURELS OU ARTIFICIELS EN POUDRE OU EN GRAINS, APPLIQUÉS SUR FOND EN MATIÈRES TEXTILES SEULEMENT, MÊME DÉCOUPÉS, COUSUS OU AUTREMENT ASSEMBLÉS")</f>
        <v xml:space="preserve">   ABRASIFS NATURELS OU ARTIFICIELS EN POUDRE OU EN GRAINS, APPLIQUÉS SUR FOND EN MATIÈRES TEXTILES SEULEMENT, MÊME DÉCOUPÉS, COUSUS OU AUTREMENT ASSEMBLÉS</v>
      </c>
      <c r="C10329">
        <v>1000000</v>
      </c>
      <c r="D10329">
        <v>7500</v>
      </c>
    </row>
    <row r="10330" spans="1:4" x14ac:dyDescent="0.25">
      <c r="A10330" t="str">
        <f>T("   680919")</f>
        <v xml:space="preserve">   680919</v>
      </c>
      <c r="B10330" t="s">
        <v>301</v>
      </c>
      <c r="C10330">
        <v>1000000</v>
      </c>
      <c r="D10330">
        <v>3214</v>
      </c>
    </row>
    <row r="10331" spans="1:4" x14ac:dyDescent="0.25">
      <c r="A10331" t="str">
        <f>T("   681019")</f>
        <v xml:space="preserve">   681019</v>
      </c>
      <c r="B10331" t="str">
        <f>T("   Tuiles, carreaux, dalles et articles simil., en ciment, en béton ou en pierre artificielle (autres que blocs et briques pour la construction)")</f>
        <v xml:space="preserve">   Tuiles, carreaux, dalles et articles simil., en ciment, en béton ou en pierre artificielle (autres que blocs et briques pour la construction)</v>
      </c>
      <c r="C10331">
        <v>273075</v>
      </c>
      <c r="D10331">
        <v>9650</v>
      </c>
    </row>
    <row r="10332" spans="1:4" x14ac:dyDescent="0.25">
      <c r="A10332" t="str">
        <f>T("   681099")</f>
        <v xml:space="preserve">   681099</v>
      </c>
      <c r="B10332" t="str">
        <f>T("   Ouvrages en ciment, en béton ou en pierres artificielles, même armés (sauf éléments préfabriqués pour le bâtiment ou le génie civil; tuiles, carreaux, dalles, briques et articles simil.)")</f>
        <v xml:space="preserve">   Ouvrages en ciment, en béton ou en pierres artificielles, même armés (sauf éléments préfabriqués pour le bâtiment ou le génie civil; tuiles, carreaux, dalles, briques et articles simil.)</v>
      </c>
      <c r="C10332">
        <v>9435984</v>
      </c>
      <c r="D10332">
        <v>127600</v>
      </c>
    </row>
    <row r="10333" spans="1:4" x14ac:dyDescent="0.25">
      <c r="A10333" t="str">
        <f>T("   681110")</f>
        <v xml:space="preserve">   681110</v>
      </c>
      <c r="B10333" t="str">
        <f>T("   Plaques ondulées en amiante-ciment, cellulose-ciment ou simil.")</f>
        <v xml:space="preserve">   Plaques ondulées en amiante-ciment, cellulose-ciment ou simil.</v>
      </c>
      <c r="C10333">
        <v>2695025</v>
      </c>
      <c r="D10333">
        <v>24800</v>
      </c>
    </row>
    <row r="10334" spans="1:4" x14ac:dyDescent="0.25">
      <c r="A10334" t="str">
        <f>T("   681120")</f>
        <v xml:space="preserve">   681120</v>
      </c>
      <c r="B10334" t="str">
        <f>T("   Plaques, panneaux, carreaux, tuiles et articles simil., en amiante-ciment, cellulose-ciment ou simil. (sauf plaques ondulées)")</f>
        <v xml:space="preserve">   Plaques, panneaux, carreaux, tuiles et articles simil., en amiante-ciment, cellulose-ciment ou simil. (sauf plaques ondulées)</v>
      </c>
      <c r="C10334">
        <v>426714</v>
      </c>
      <c r="D10334">
        <v>2850</v>
      </c>
    </row>
    <row r="10335" spans="1:4" x14ac:dyDescent="0.25">
      <c r="A10335" t="str">
        <f>T("   690290")</f>
        <v xml:space="preserve">   690290</v>
      </c>
      <c r="B10335" t="s">
        <v>305</v>
      </c>
      <c r="C10335">
        <v>2182302</v>
      </c>
      <c r="D10335">
        <v>22312.04</v>
      </c>
    </row>
    <row r="10336" spans="1:4" x14ac:dyDescent="0.25">
      <c r="A10336" t="str">
        <f>T("   690710")</f>
        <v xml:space="preserve">   690710</v>
      </c>
      <c r="B10336" t="str">
        <f>T("   Carreaux, cubes, dés et articles simil., en céramique, pour mosaïques, non vernissés ni émaillés, même de forme autre que carrée ou rectangulaire, dont la plus grande surface peut être inscrite dans un carré de côté &lt; 7 cm, même sur support")</f>
        <v xml:space="preserve">   Carreaux, cubes, dés et articles simil., en céramique, pour mosaïques, non vernissés ni émaillés, même de forme autre que carrée ou rectangulaire, dont la plus grande surface peut être inscrite dans un carré de côté &lt; 7 cm, même sur support</v>
      </c>
      <c r="C10336">
        <v>2624676</v>
      </c>
      <c r="D10336">
        <v>10600</v>
      </c>
    </row>
    <row r="10337" spans="1:4" x14ac:dyDescent="0.25">
      <c r="A10337" t="str">
        <f>T("   690790")</f>
        <v xml:space="preserve">   690790</v>
      </c>
      <c r="B10337" t="s">
        <v>310</v>
      </c>
      <c r="C10337">
        <v>1925000</v>
      </c>
      <c r="D10337">
        <v>20000</v>
      </c>
    </row>
    <row r="10338" spans="1:4" x14ac:dyDescent="0.25">
      <c r="A10338" t="str">
        <f>T("   690810")</f>
        <v xml:space="preserve">   690810</v>
      </c>
      <c r="B10338" t="str">
        <f>T("   Carreaux, cubes, dés et simil., en céramique, pour mosaïques, vernissés ou émaillés, même de forme autre que carrée ou rectangulaire, dont la plus grande surface peut être inscrite dans un carré de côté &lt; 7 cm, même sur support")</f>
        <v xml:space="preserve">   Carreaux, cubes, dés et simil., en céramique, pour mosaïques, vernissés ou émaillés, même de forme autre que carrée ou rectangulaire, dont la plus grande surface peut être inscrite dans un carré de côté &lt; 7 cm, même sur support</v>
      </c>
      <c r="C10338">
        <v>2000000</v>
      </c>
      <c r="D10338">
        <v>18420</v>
      </c>
    </row>
    <row r="10339" spans="1:4" x14ac:dyDescent="0.25">
      <c r="A10339" t="str">
        <f>T("   690890")</f>
        <v xml:space="preserve">   690890</v>
      </c>
      <c r="B10339" t="s">
        <v>311</v>
      </c>
      <c r="C10339">
        <v>11122044</v>
      </c>
      <c r="D10339">
        <v>66526</v>
      </c>
    </row>
    <row r="10340" spans="1:4" x14ac:dyDescent="0.25">
      <c r="A10340" t="str">
        <f>T("   691010")</f>
        <v xml:space="preserve">   691010</v>
      </c>
      <c r="B10340" t="s">
        <v>312</v>
      </c>
      <c r="C10340">
        <v>107255</v>
      </c>
      <c r="D10340">
        <v>676.72</v>
      </c>
    </row>
    <row r="10341" spans="1:4" x14ac:dyDescent="0.25">
      <c r="A10341" t="str">
        <f>T("   691090")</f>
        <v xml:space="preserve">   691090</v>
      </c>
      <c r="B10341" t="s">
        <v>313</v>
      </c>
      <c r="C10341">
        <v>427197</v>
      </c>
      <c r="D10341">
        <v>3880</v>
      </c>
    </row>
    <row r="10342" spans="1:4" x14ac:dyDescent="0.25">
      <c r="A10342" t="str">
        <f>T("   691190")</f>
        <v xml:space="preserve">   691190</v>
      </c>
      <c r="B10342" t="s">
        <v>315</v>
      </c>
      <c r="C10342">
        <v>87384</v>
      </c>
      <c r="D10342">
        <v>2400</v>
      </c>
    </row>
    <row r="10343" spans="1:4" x14ac:dyDescent="0.25">
      <c r="A10343" t="str">
        <f>T("   691200")</f>
        <v xml:space="preserve">   691200</v>
      </c>
      <c r="B10343" t="s">
        <v>316</v>
      </c>
      <c r="C10343">
        <v>316767</v>
      </c>
      <c r="D10343">
        <v>3640</v>
      </c>
    </row>
    <row r="10344" spans="1:4" x14ac:dyDescent="0.25">
      <c r="A10344" t="str">
        <f>T("   691410")</f>
        <v xml:space="preserve">   691410</v>
      </c>
      <c r="B10344" t="str">
        <f>T("   Ouvrages en porcelaine n.d.a.")</f>
        <v xml:space="preserve">   Ouvrages en porcelaine n.d.a.</v>
      </c>
      <c r="C10344">
        <v>109230</v>
      </c>
      <c r="D10344">
        <v>530</v>
      </c>
    </row>
    <row r="10345" spans="1:4" x14ac:dyDescent="0.25">
      <c r="A10345" t="str">
        <f>T("   700420")</f>
        <v xml:space="preserve">   700420</v>
      </c>
      <c r="B10345" t="str">
        <f>T("   FEUILLES EN VERRE ÉTIRÉ OU SOUFFLÉ, COLORÉ DANS LA MASSE, OPACIFIÉ, PLAQUÉ [DOUBLÉES], OU À COUCHE ABSORBANTE, RÉFLÉCHISSANTE OU NON-RÉFLÉCHISSANTE, MAIS NON AUTREMENT TRAVAILLÉ")</f>
        <v xml:space="preserve">   FEUILLES EN VERRE ÉTIRÉ OU SOUFFLÉ, COLORÉ DANS LA MASSE, OPACIFIÉ, PLAQUÉ [DOUBLÉES], OU À COUCHE ABSORBANTE, RÉFLÉCHISSANTE OU NON-RÉFLÉCHISSANTE, MAIS NON AUTREMENT TRAVAILLÉ</v>
      </c>
      <c r="C10345">
        <v>400000</v>
      </c>
      <c r="D10345">
        <v>22565</v>
      </c>
    </row>
    <row r="10346" spans="1:4" x14ac:dyDescent="0.25">
      <c r="A10346" t="str">
        <f>T("   700490")</f>
        <v xml:space="preserve">   700490</v>
      </c>
      <c r="B10346" t="str">
        <f>T("   FEUILLES EN VERRE ÉTIRÉ OU SOUFFLÉ MAIS NON AUTREMENT TRAVAILLÉ (AUTRES QU'EN VERRE COLORÉ DANS LA MASSE, OPACIFIÉ, PLAQUÉ [DOUBLÉ], OU À COUCHE ABSORBANTE, RÉFLÉCHISSANTE OU NON-RÉFLÉCHISSANTE)")</f>
        <v xml:space="preserve">   FEUILLES EN VERRE ÉTIRÉ OU SOUFFLÉ MAIS NON AUTREMENT TRAVAILLÉ (AUTRES QU'EN VERRE COLORÉ DANS LA MASSE, OPACIFIÉ, PLAQUÉ [DOUBLÉ], OU À COUCHE ABSORBANTE, RÉFLÉCHISSANTE OU NON-RÉFLÉCHISSANTE)</v>
      </c>
      <c r="C10346">
        <v>1302198</v>
      </c>
      <c r="D10346">
        <v>22230</v>
      </c>
    </row>
    <row r="10347" spans="1:4" x14ac:dyDescent="0.25">
      <c r="A10347" t="str">
        <f>T("   700521")</f>
        <v xml:space="preserve">   700521</v>
      </c>
      <c r="B10347" t="s">
        <v>317</v>
      </c>
      <c r="C10347">
        <v>1677537</v>
      </c>
      <c r="D10347">
        <v>18804</v>
      </c>
    </row>
    <row r="10348" spans="1:4" x14ac:dyDescent="0.25">
      <c r="A10348" t="str">
        <f>T("   700529")</f>
        <v xml:space="preserve">   700529</v>
      </c>
      <c r="B10348" t="s">
        <v>318</v>
      </c>
      <c r="C10348">
        <v>805740</v>
      </c>
      <c r="D10348">
        <v>3890</v>
      </c>
    </row>
    <row r="10349" spans="1:4" x14ac:dyDescent="0.25">
      <c r="A10349" t="str">
        <f>T("   700530")</f>
        <v xml:space="preserve">   700530</v>
      </c>
      <c r="B10349" t="str">
        <f>T("   Plaques ou feuilles en glace [verre flotté et verre douci ou poli sur une ou deux faces], même à couche absorbante, réfléchissante ou non réfléchissante, armée, mais non autrement travaillée")</f>
        <v xml:space="preserve">   Plaques ou feuilles en glace [verre flotté et verre douci ou poli sur une ou deux faces], même à couche absorbante, réfléchissante ou non réfléchissante, armée, mais non autrement travaillée</v>
      </c>
      <c r="C10349">
        <v>1500000</v>
      </c>
      <c r="D10349">
        <v>16250</v>
      </c>
    </row>
    <row r="10350" spans="1:4" x14ac:dyDescent="0.25">
      <c r="A10350" t="str">
        <f>T("   701090")</f>
        <v xml:space="preserve">   701090</v>
      </c>
      <c r="B10350" t="s">
        <v>323</v>
      </c>
      <c r="C10350">
        <v>1057258</v>
      </c>
      <c r="D10350">
        <v>18300</v>
      </c>
    </row>
    <row r="10351" spans="1:4" x14ac:dyDescent="0.25">
      <c r="A10351" t="str">
        <f>T("   701091")</f>
        <v xml:space="preserve">   701091</v>
      </c>
      <c r="B10351" t="s">
        <v>324</v>
      </c>
      <c r="C10351">
        <v>216099</v>
      </c>
      <c r="D10351">
        <v>3020</v>
      </c>
    </row>
    <row r="10352" spans="1:4" x14ac:dyDescent="0.25">
      <c r="A10352" t="str">
        <f>T("   701092")</f>
        <v xml:space="preserve">   701092</v>
      </c>
      <c r="B10352" t="s">
        <v>325</v>
      </c>
      <c r="C10352">
        <v>315579</v>
      </c>
      <c r="D10352">
        <v>5620</v>
      </c>
    </row>
    <row r="10353" spans="1:4" x14ac:dyDescent="0.25">
      <c r="A10353" t="str">
        <f>T("   701610")</f>
        <v xml:space="preserve">   701610</v>
      </c>
      <c r="B10353" t="str">
        <f>T("   Cubes, dés et autre verrerie même sur support, pour mosaïques ou décorations simil. (sauf panneaux et autres motifs décoratifs prêts à l'emploi en cubes de verre, pour mosaïques)")</f>
        <v xml:space="preserve">   Cubes, dés et autre verrerie même sur support, pour mosaïques ou décorations simil. (sauf panneaux et autres motifs décoratifs prêts à l'emploi en cubes de verre, pour mosaïques)</v>
      </c>
      <c r="C10353">
        <v>1000000</v>
      </c>
      <c r="D10353">
        <v>1333</v>
      </c>
    </row>
    <row r="10354" spans="1:4" x14ac:dyDescent="0.25">
      <c r="A10354" t="str">
        <f>T("   701690")</f>
        <v xml:space="preserve">   701690</v>
      </c>
      <c r="B10354" t="s">
        <v>334</v>
      </c>
      <c r="C10354">
        <v>200000</v>
      </c>
      <c r="D10354">
        <v>1500</v>
      </c>
    </row>
    <row r="10355" spans="1:4" x14ac:dyDescent="0.25">
      <c r="A10355" t="str">
        <f>T("   711719")</f>
        <v xml:space="preserve">   711719</v>
      </c>
      <c r="B10355" t="str">
        <f>T("   Bijouterie de fantaisie en métaux communs, même argentés, dorés ou platinés (à l'excl. des boutons de manchettes et des boutons simil.)")</f>
        <v xml:space="preserve">   Bijouterie de fantaisie en métaux communs, même argentés, dorés ou platinés (à l'excl. des boutons de manchettes et des boutons simil.)</v>
      </c>
      <c r="C10355">
        <v>474814</v>
      </c>
      <c r="D10355">
        <v>120</v>
      </c>
    </row>
    <row r="10356" spans="1:4" x14ac:dyDescent="0.25">
      <c r="A10356" t="str">
        <f>T("   711790")</f>
        <v xml:space="preserve">   711790</v>
      </c>
      <c r="B10356" t="str">
        <f>T("   Bijouterie de fantaisie (autre qu'en métaux communs, même argentés, dorés ou platinés)")</f>
        <v xml:space="preserve">   Bijouterie de fantaisie (autre qu'en métaux communs, même argentés, dorés ou platinés)</v>
      </c>
      <c r="C10356">
        <v>249575</v>
      </c>
      <c r="D10356">
        <v>295</v>
      </c>
    </row>
    <row r="10357" spans="1:4" x14ac:dyDescent="0.25">
      <c r="A10357" t="str">
        <f>T("   720410")</f>
        <v xml:space="preserve">   720410</v>
      </c>
      <c r="B10357" t="str">
        <f>T("   DÉCHETS ET DÉBRIS DE FONTE -FERRAILLES- (AUTRES QUE RADIOACTIFS)")</f>
        <v xml:space="preserve">   DÉCHETS ET DÉBRIS DE FONTE -FERRAILLES- (AUTRES QUE RADIOACTIFS)</v>
      </c>
      <c r="C10357">
        <v>1308102</v>
      </c>
      <c r="D10357">
        <v>12840</v>
      </c>
    </row>
    <row r="10358" spans="1:4" x14ac:dyDescent="0.25">
      <c r="A10358" t="str">
        <f>T("   720429")</f>
        <v xml:space="preserve">   720429</v>
      </c>
      <c r="B10358" t="str">
        <f>T("   DÉCHETS ET DÉBRIS D'ACIERS ALLIÉS [FERRAILLES] (SAUF ACIERS INOXYDABLES, DÉCHETS RADIOACTIFS ET DÉCHETS ET DÉBRIS DE PILES, DE BATTERIES DE PILES ET D'ACCUMULATEURS ÉLECTRIQUES)")</f>
        <v xml:space="preserve">   DÉCHETS ET DÉBRIS D'ACIERS ALLIÉS [FERRAILLES] (SAUF ACIERS INOXYDABLES, DÉCHETS RADIOACTIFS ET DÉCHETS ET DÉBRIS DE PILES, DE BATTERIES DE PILES ET D'ACCUMULATEURS ÉLECTRIQUES)</v>
      </c>
      <c r="C10358">
        <v>40500</v>
      </c>
      <c r="D10358">
        <v>300</v>
      </c>
    </row>
    <row r="10359" spans="1:4" x14ac:dyDescent="0.25">
      <c r="A10359" t="str">
        <f>T("   720449")</f>
        <v xml:space="preserve">   720449</v>
      </c>
      <c r="B10359" t="s">
        <v>342</v>
      </c>
      <c r="C10359">
        <v>77580</v>
      </c>
      <c r="D10359">
        <v>4000</v>
      </c>
    </row>
    <row r="10360" spans="1:4" x14ac:dyDescent="0.25">
      <c r="A10360" t="str">
        <f>T("   720826")</f>
        <v xml:space="preserve">   720826</v>
      </c>
      <c r="B10360" t="str">
        <f>T("   PRODUITS LAMINÉS PLATS, EN FER OU EN ACIERS NON ALLIÉS, D'UNE LARGEUR &gt;= 600 MM, ENROULÉS, SIMPLEMENT LAMINÉS À CHAUD, NON PLAQUÉS NI REVÊTUS, ÉPAISSEUR &gt;= 3 MM MAIS &lt; 4,75 MM, DÉCAPÉS (SANS MOTIFS EN RELIEF)")</f>
        <v xml:space="preserve">   PRODUITS LAMINÉS PLATS, EN FER OU EN ACIERS NON ALLIÉS, D'UNE LARGEUR &gt;= 600 MM, ENROULÉS, SIMPLEMENT LAMINÉS À CHAUD, NON PLAQUÉS NI REVÊTUS, ÉPAISSEUR &gt;= 3 MM MAIS &lt; 4,75 MM, DÉCAPÉS (SANS MOTIFS EN RELIEF)</v>
      </c>
      <c r="C10360">
        <v>980000</v>
      </c>
      <c r="D10360">
        <v>820</v>
      </c>
    </row>
    <row r="10361" spans="1:4" x14ac:dyDescent="0.25">
      <c r="A10361" t="str">
        <f>T("   720926")</f>
        <v xml:space="preserve">   720926</v>
      </c>
      <c r="B10361" t="str">
        <f>T("   PRODUITS LAMINÉS PLATS, EN FER OU EN ACIERS NON-ALLIÉS, D'UNE LARGEUR &gt;= 600 MM, NON-PLAQUÉS NI REVÊTUS, NON-ENROULÉS, SIMPL. LAMINÉS À FROID, D'UNE ÉPAISSEUR &gt; 1 MM MAIS &lt; 3 MM")</f>
        <v xml:space="preserve">   PRODUITS LAMINÉS PLATS, EN FER OU EN ACIERS NON-ALLIÉS, D'UNE LARGEUR &gt;= 600 MM, NON-PLAQUÉS NI REVÊTUS, NON-ENROULÉS, SIMPL. LAMINÉS À FROID, D'UNE ÉPAISSEUR &gt; 1 MM MAIS &lt; 3 MM</v>
      </c>
      <c r="C10361">
        <v>5506452</v>
      </c>
      <c r="D10361">
        <v>20000</v>
      </c>
    </row>
    <row r="10362" spans="1:4" x14ac:dyDescent="0.25">
      <c r="A10362" t="str">
        <f>T("   721012")</f>
        <v xml:space="preserve">   721012</v>
      </c>
      <c r="B10362" t="str">
        <f>T("   PRODUITS LAMINÉS PLATS, EN FER OU EN ACIERS NON-ALLIÉS, D'UNE LARGEUR &gt;= 600 MM, LAMINÉS À CHAUD OU À FROID, ÉTAMÉS, D'UNE ÉPAISSEUR &lt; 0,5 MM")</f>
        <v xml:space="preserve">   PRODUITS LAMINÉS PLATS, EN FER OU EN ACIERS NON-ALLIÉS, D'UNE LARGEUR &gt;= 600 MM, LAMINÉS À CHAUD OU À FROID, ÉTAMÉS, D'UNE ÉPAISSEUR &lt; 0,5 MM</v>
      </c>
      <c r="C10362">
        <v>28342192</v>
      </c>
      <c r="D10362">
        <v>46290</v>
      </c>
    </row>
    <row r="10363" spans="1:4" x14ac:dyDescent="0.25">
      <c r="A10363" t="str">
        <f>T("   721020")</f>
        <v xml:space="preserve">   721020</v>
      </c>
      <c r="B10363" t="str">
        <f>T("   Produits laminés plats, en fer ou en aciers non alliés, d'une largeur &gt;= 600 mm, laminés à chaud ou à froid, plombés, y.c. le fer terne")</f>
        <v xml:space="preserve">   Produits laminés plats, en fer ou en aciers non alliés, d'une largeur &gt;= 600 mm, laminés à chaud ou à froid, plombés, y.c. le fer terne</v>
      </c>
      <c r="C10363">
        <v>89526</v>
      </c>
      <c r="D10363">
        <v>650</v>
      </c>
    </row>
    <row r="10364" spans="1:4" x14ac:dyDescent="0.25">
      <c r="A10364" t="str">
        <f>T("   721041")</f>
        <v xml:space="preserve">   721041</v>
      </c>
      <c r="B10364" t="str">
        <f>T("   Produits laminés plats, en fer ou en aciers non alliés, d'une largeur &gt;= 600 mm, laminés à chaud ou à froid, zingués, ondulés (à l'excl. des produits zingués électrolytiquement)")</f>
        <v xml:space="preserve">   Produits laminés plats, en fer ou en aciers non alliés, d'une largeur &gt;= 600 mm, laminés à chaud ou à froid, zingués, ondulés (à l'excl. des produits zingués électrolytiquement)</v>
      </c>
      <c r="C10364">
        <v>702570677</v>
      </c>
      <c r="D10364">
        <v>2044760</v>
      </c>
    </row>
    <row r="10365" spans="1:4" x14ac:dyDescent="0.25">
      <c r="A10365" t="str">
        <f>T("   721049")</f>
        <v xml:space="preserve">   721049</v>
      </c>
      <c r="B10365" t="str">
        <f>T("   Produits laminés plats, en fer ou en aciers non alliés, d'une largeur &gt;= 600 mm, laminés à chaud ou à froid, zingués, non ondulés (à l'excl. des produits zingués électrolytiquement)")</f>
        <v xml:space="preserve">   Produits laminés plats, en fer ou en aciers non alliés, d'une largeur &gt;= 600 mm, laminés à chaud ou à froid, zingués, non ondulés (à l'excl. des produits zingués électrolytiquement)</v>
      </c>
      <c r="C10365">
        <v>136491428</v>
      </c>
      <c r="D10365">
        <v>340000</v>
      </c>
    </row>
    <row r="10366" spans="1:4" x14ac:dyDescent="0.25">
      <c r="A10366" t="str">
        <f>T("   721070")</f>
        <v xml:space="preserve">   721070</v>
      </c>
      <c r="B10366" t="str">
        <f>T("   PRODUITS LAMINÉS PLATS, EN FER OU EN ACIERS NON-ALLIÉS, D'UNE LARGEUR &gt;= 600 MM, LAMINÉS À CHAUD OU À FROID, PEINTS, VERNIS OU REVÊTUS DE MATIÈRES PLASTIQUES")</f>
        <v xml:space="preserve">   PRODUITS LAMINÉS PLATS, EN FER OU EN ACIERS NON-ALLIÉS, D'UNE LARGEUR &gt;= 600 MM, LAMINÉS À CHAUD OU À FROID, PEINTS, VERNIS OU REVÊTUS DE MATIÈRES PLASTIQUES</v>
      </c>
      <c r="C10366">
        <v>16041556</v>
      </c>
      <c r="D10366">
        <v>28795</v>
      </c>
    </row>
    <row r="10367" spans="1:4" x14ac:dyDescent="0.25">
      <c r="A10367" t="str">
        <f>T("   721391")</f>
        <v xml:space="preserve">   721391</v>
      </c>
      <c r="B10367"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10367">
        <v>189470208</v>
      </c>
      <c r="D10367">
        <v>619735</v>
      </c>
    </row>
    <row r="10368" spans="1:4" x14ac:dyDescent="0.25">
      <c r="A10368" t="str">
        <f>T("   721410")</f>
        <v xml:space="preserve">   721410</v>
      </c>
      <c r="B10368" t="str">
        <f>T("   Barres, en fer ou en aciers non alliés, simplement forgées")</f>
        <v xml:space="preserve">   Barres, en fer ou en aciers non alliés, simplement forgées</v>
      </c>
      <c r="C10368">
        <v>270000</v>
      </c>
      <c r="D10368">
        <v>830</v>
      </c>
    </row>
    <row r="10369" spans="1:4" x14ac:dyDescent="0.25">
      <c r="A10369" t="str">
        <f>T("   721420")</f>
        <v xml:space="preserve">   721420</v>
      </c>
      <c r="B10369" t="str">
        <f>T("   BARRES EN FER OU EN ACIERS NON ALLIÉS, COMPORTANT DES INDENTATIONS, BOURRELETS, CREUX OU RELIEFS OBTENUS AU COURS DU LAMINAGE OU AYANT SUBI UNE TORSION APRÈS LAMINAGE")</f>
        <v xml:space="preserve">   BARRES EN FER OU EN ACIERS NON ALLIÉS, COMPORTANT DES INDENTATIONS, BOURRELETS, CREUX OU RELIEFS OBTENUS AU COURS DU LAMINAGE OU AYANT SUBI UNE TORSION APRÈS LAMINAGE</v>
      </c>
      <c r="C10369">
        <v>442484308</v>
      </c>
      <c r="D10369">
        <v>1470000</v>
      </c>
    </row>
    <row r="10370" spans="1:4" x14ac:dyDescent="0.25">
      <c r="A10370" t="str">
        <f>T("   721491")</f>
        <v xml:space="preserve">   721491</v>
      </c>
      <c r="B10370" t="s">
        <v>345</v>
      </c>
      <c r="C10370">
        <v>84630509</v>
      </c>
      <c r="D10370">
        <v>250060</v>
      </c>
    </row>
    <row r="10371" spans="1:4" x14ac:dyDescent="0.25">
      <c r="A10371" t="str">
        <f>T("   721499")</f>
        <v xml:space="preserve">   721499</v>
      </c>
      <c r="B10371" t="s">
        <v>346</v>
      </c>
      <c r="C10371">
        <v>436920</v>
      </c>
      <c r="D10371">
        <v>1000</v>
      </c>
    </row>
    <row r="10372" spans="1:4" x14ac:dyDescent="0.25">
      <c r="A10372" t="str">
        <f>T("   721590")</f>
        <v xml:space="preserve">   721590</v>
      </c>
      <c r="B10372" t="str">
        <f>T("   Barres en fer ou en aciers non alliés, obtenues ou parachevées à froid et ayant subi certaines ouvraisons plus poussées ou obtenues à chaud et ayant subi certaines ouvraisons plus poussées, n.d.a.")</f>
        <v xml:space="preserve">   Barres en fer ou en aciers non alliés, obtenues ou parachevées à froid et ayant subi certaines ouvraisons plus poussées ou obtenues à chaud et ayant subi certaines ouvraisons plus poussées, n.d.a.</v>
      </c>
      <c r="C10372">
        <v>1500000</v>
      </c>
      <c r="D10372">
        <v>2100</v>
      </c>
    </row>
    <row r="10373" spans="1:4" x14ac:dyDescent="0.25">
      <c r="A10373" t="str">
        <f>T("   721621")</f>
        <v xml:space="preserve">   721621</v>
      </c>
      <c r="B10373" t="str">
        <f>T("   PROFILÉS EN L EN FER OU ACIERS NON ALLIÉS, SIMPLEMENT LAMINÉS OU FILÉS À CHAUD, HAUTEUR &lt; 80 MM")</f>
        <v xml:space="preserve">   PROFILÉS EN L EN FER OU ACIERS NON ALLIÉS, SIMPLEMENT LAMINÉS OU FILÉS À CHAUD, HAUTEUR &lt; 80 MM</v>
      </c>
      <c r="C10373">
        <v>570196</v>
      </c>
      <c r="D10373">
        <v>2000</v>
      </c>
    </row>
    <row r="10374" spans="1:4" x14ac:dyDescent="0.25">
      <c r="A10374" t="str">
        <f>T("   721632")</f>
        <v xml:space="preserve">   721632</v>
      </c>
      <c r="B10374" t="str">
        <f>T("   PROFILÉS EN I, EN FER OU EN ACIERS NON-ALLIÉS, SIMPL. LAMINÉS OU FILÉS À CHAUD, D'UNE HAUTEUR &gt;= 80 MM")</f>
        <v xml:space="preserve">   PROFILÉS EN I, EN FER OU EN ACIERS NON-ALLIÉS, SIMPL. LAMINÉS OU FILÉS À CHAUD, D'UNE HAUTEUR &gt;= 80 MM</v>
      </c>
      <c r="C10374">
        <v>21839716</v>
      </c>
      <c r="D10374">
        <v>50151</v>
      </c>
    </row>
    <row r="10375" spans="1:4" x14ac:dyDescent="0.25">
      <c r="A10375" t="str">
        <f>T("   721650")</f>
        <v xml:space="preserve">   721650</v>
      </c>
      <c r="B10375" t="str">
        <f>T("   PROFILÉS, EN FER OU EN ACIERS NON-ALLIÉS, SIMPL. LAMINÉS OU FILÉS À CHAUD (À L'EXCL. DES PROFILÉS EN U, EN I, EN H, EN L OU EN T)")</f>
        <v xml:space="preserve">   PROFILÉS, EN FER OU EN ACIERS NON-ALLIÉS, SIMPL. LAMINÉS OU FILÉS À CHAUD (À L'EXCL. DES PROFILÉS EN U, EN I, EN H, EN L OU EN T)</v>
      </c>
      <c r="C10375">
        <v>12819000</v>
      </c>
      <c r="D10375">
        <v>50000</v>
      </c>
    </row>
    <row r="10376" spans="1:4" x14ac:dyDescent="0.25">
      <c r="A10376" t="str">
        <f>T("   721661")</f>
        <v xml:space="preserve">   721661</v>
      </c>
      <c r="B10376" t="str">
        <f>T("   PROFILÉS EN FER OU ACIERS NON-ALLIÉS, SIMPL. OBTENUS À FROID À PARTIR DE PRODUITS LAMINÉS PLATS (À L'EXCL. DES TÔLES NERVURÉES)")</f>
        <v xml:space="preserve">   PROFILÉS EN FER OU ACIERS NON-ALLIÉS, SIMPL. OBTENUS À FROID À PARTIR DE PRODUITS LAMINÉS PLATS (À L'EXCL. DES TÔLES NERVURÉES)</v>
      </c>
      <c r="C10376">
        <v>287506208</v>
      </c>
      <c r="D10376">
        <v>887018</v>
      </c>
    </row>
    <row r="10377" spans="1:4" x14ac:dyDescent="0.25">
      <c r="A10377" t="str">
        <f>T("   721699")</f>
        <v xml:space="preserve">   721699</v>
      </c>
      <c r="B10377" t="s">
        <v>347</v>
      </c>
      <c r="C10377">
        <v>7125000</v>
      </c>
      <c r="D10377">
        <v>24980</v>
      </c>
    </row>
    <row r="10378" spans="1:4" x14ac:dyDescent="0.25">
      <c r="A10378" t="str">
        <f>T("   721710")</f>
        <v xml:space="preserve">   721710</v>
      </c>
      <c r="B10378" t="str">
        <f>T("   FILS EN FER OU EN ACIERS NON-ALLIÉS, ENROULÉS, NON-REVÊTUS, MÊME POLIS (À L'EXCL. DU FIL MACHINE)")</f>
        <v xml:space="preserve">   FILS EN FER OU EN ACIERS NON-ALLIÉS, ENROULÉS, NON-REVÊTUS, MÊME POLIS (À L'EXCL. DU FIL MACHINE)</v>
      </c>
      <c r="C10378">
        <v>39434015</v>
      </c>
      <c r="D10378">
        <v>60035</v>
      </c>
    </row>
    <row r="10379" spans="1:4" x14ac:dyDescent="0.25">
      <c r="A10379" t="str">
        <f>T("   721720")</f>
        <v xml:space="preserve">   721720</v>
      </c>
      <c r="B10379" t="str">
        <f>T("   FILS EN FER OU EN ACIERS NON-ALLIÉS, ENROULÉS, ZINGUÉS (À L'EXCL. DU FIL MACHINE)")</f>
        <v xml:space="preserve">   FILS EN FER OU EN ACIERS NON-ALLIÉS, ENROULÉS, ZINGUÉS (À L'EXCL. DU FIL MACHINE)</v>
      </c>
      <c r="C10379">
        <v>5369432</v>
      </c>
      <c r="D10379">
        <v>17000</v>
      </c>
    </row>
    <row r="10380" spans="1:4" x14ac:dyDescent="0.25">
      <c r="A10380" t="str">
        <f>T("   721790")</f>
        <v xml:space="preserve">   721790</v>
      </c>
      <c r="B10380" t="str">
        <f>T("   FILS EN FER OU EN ACIERS NON-ALLIÉS, ENROULÉS, REVÊTUS (À L'EXCL. DU FIL MACHINE AINSI QUE DES FILS REVÊTUS DE MÉTAUX COMMUNS)")</f>
        <v xml:space="preserve">   FILS EN FER OU EN ACIERS NON-ALLIÉS, ENROULÉS, REVÊTUS (À L'EXCL. DU FIL MACHINE AINSI QUE DES FILS REVÊTUS DE MÉTAUX COMMUNS)</v>
      </c>
      <c r="C10380">
        <v>80478583</v>
      </c>
      <c r="D10380">
        <v>245200</v>
      </c>
    </row>
    <row r="10381" spans="1:4" x14ac:dyDescent="0.25">
      <c r="A10381" t="str">
        <f>T("   730429")</f>
        <v xml:space="preserve">   730429</v>
      </c>
      <c r="B10381" t="str">
        <f>T("   Tubes et tuyaux de cuvelage ou de production sans soudure, en fer (à l'excl. de la fonte) ou en acier, des types utilisés pour l'extraction du pétrole ou du gaz")</f>
        <v xml:space="preserve">   Tubes et tuyaux de cuvelage ou de production sans soudure, en fer (à l'excl. de la fonte) ou en acier, des types utilisés pour l'extraction du pétrole ou du gaz</v>
      </c>
      <c r="C10381">
        <v>71620</v>
      </c>
      <c r="D10381">
        <v>320</v>
      </c>
    </row>
    <row r="10382" spans="1:4" x14ac:dyDescent="0.25">
      <c r="A10382" t="str">
        <f>T("   730490")</f>
        <v xml:space="preserve">   730490</v>
      </c>
      <c r="B10382" t="str">
        <f>T("   Tubes, tuyaux et profilés creux, sans soudure, de section autre que circulaire, en fer (à l'excl. de la fonte) ou en acier")</f>
        <v xml:space="preserve">   Tubes, tuyaux et profilés creux, sans soudure, de section autre que circulaire, en fer (à l'excl. de la fonte) ou en acier</v>
      </c>
      <c r="C10382">
        <v>68615</v>
      </c>
      <c r="D10382">
        <v>280</v>
      </c>
    </row>
    <row r="10383" spans="1:4" x14ac:dyDescent="0.25">
      <c r="A10383" t="str">
        <f>T("   730539")</f>
        <v xml:space="preserve">   730539</v>
      </c>
      <c r="B10383" t="str">
        <f>T("   Tubes et tuyaux, de section circulaires, d'un diamètre extérieur &gt; 406,4 mm, en fer ou en acier, soudés (sauf soudés longitudinalement et sauf tubes des types utilisés pour les oléoducs et gazoducs ou pour l'extraction de pétrole ou de gaz)")</f>
        <v xml:space="preserve">   Tubes et tuyaux, de section circulaires, d'un diamètre extérieur &gt; 406,4 mm, en fer ou en acier, soudés (sauf soudés longitudinalement et sauf tubes des types utilisés pour les oléoducs et gazoducs ou pour l'extraction de pétrole ou de gaz)</v>
      </c>
      <c r="C10383">
        <v>218460</v>
      </c>
      <c r="D10383">
        <v>360</v>
      </c>
    </row>
    <row r="10384" spans="1:4" x14ac:dyDescent="0.25">
      <c r="A10384" t="str">
        <f>T("   730610")</f>
        <v xml:space="preserve">   730610</v>
      </c>
      <c r="B10384" t="str">
        <f>T("   Tubes et tuyaux des types utilisés pour oléoducs ou gazoducs, en produits laminés plats en fer ou en acier, d'un diamètre extérieur &lt;= 406,4 mm")</f>
        <v xml:space="preserve">   Tubes et tuyaux des types utilisés pour oléoducs ou gazoducs, en produits laminés plats en fer ou en acier, d'un diamètre extérieur &lt;= 406,4 mm</v>
      </c>
      <c r="C10384">
        <v>27191500</v>
      </c>
      <c r="D10384">
        <v>55000</v>
      </c>
    </row>
    <row r="10385" spans="1:4" x14ac:dyDescent="0.25">
      <c r="A10385" t="str">
        <f>T("   730630")</f>
        <v xml:space="preserve">   730630</v>
      </c>
      <c r="B10385" t="s">
        <v>351</v>
      </c>
      <c r="C10385">
        <v>71475542</v>
      </c>
      <c r="D10385">
        <v>235000</v>
      </c>
    </row>
    <row r="10386" spans="1:4" x14ac:dyDescent="0.25">
      <c r="A10386" t="str">
        <f>T("   730660")</f>
        <v xml:space="preserve">   730660</v>
      </c>
      <c r="B10386" t="s">
        <v>354</v>
      </c>
      <c r="C10386">
        <v>182215544</v>
      </c>
      <c r="D10386">
        <v>578000</v>
      </c>
    </row>
    <row r="10387" spans="1:4" x14ac:dyDescent="0.25">
      <c r="A10387" t="str">
        <f>T("   730690")</f>
        <v xml:space="preserve">   730690</v>
      </c>
      <c r="B10387" t="str">
        <f>T("   Tubes, tuyaux et profilés creux [p.ex. rivés, agrafés ou à bords simplement rapprochés], en fer ou en acier (sauf tubes sans soudure ou soudés et tubes de sections intérieure et extérieure circulaires et d'un diamètre extérieur &gt; 406,4 mm)")</f>
        <v xml:space="preserve">   Tubes, tuyaux et profilés creux [p.ex. rivés, agrafés ou à bords simplement rapprochés], en fer ou en acier (sauf tubes sans soudure ou soudés et tubes de sections intérieure et extérieure circulaires et d'un diamètre extérieur &gt; 406,4 mm)</v>
      </c>
      <c r="C10387">
        <v>115788298</v>
      </c>
      <c r="D10387">
        <v>329040</v>
      </c>
    </row>
    <row r="10388" spans="1:4" x14ac:dyDescent="0.25">
      <c r="A10388" t="str">
        <f>T("   730820")</f>
        <v xml:space="preserve">   730820</v>
      </c>
      <c r="B10388" t="str">
        <f>T("   Tours et pylônes, en fer ou en acier")</f>
        <v xml:space="preserve">   Tours et pylônes, en fer ou en acier</v>
      </c>
      <c r="C10388">
        <v>179051</v>
      </c>
      <c r="D10388">
        <v>580</v>
      </c>
    </row>
    <row r="10389" spans="1:4" x14ac:dyDescent="0.25">
      <c r="A10389" t="str">
        <f>T("   730830")</f>
        <v xml:space="preserve">   730830</v>
      </c>
      <c r="B10389" t="str">
        <f>T("   Portes, fenêtres et leurs cadres et chambranles ainsi que leurs seuils, en fer ou en acier")</f>
        <v xml:space="preserve">   Portes, fenêtres et leurs cadres et chambranles ainsi que leurs seuils, en fer ou en acier</v>
      </c>
      <c r="C10389">
        <v>634256</v>
      </c>
      <c r="D10389">
        <v>2840</v>
      </c>
    </row>
    <row r="10390" spans="1:4" x14ac:dyDescent="0.25">
      <c r="A10390" t="str">
        <f>T("   730900")</f>
        <v xml:space="preserve">   730900</v>
      </c>
      <c r="B10390" t="s">
        <v>356</v>
      </c>
      <c r="C10390">
        <v>250000</v>
      </c>
      <c r="D10390">
        <v>800</v>
      </c>
    </row>
    <row r="10391" spans="1:4" x14ac:dyDescent="0.25">
      <c r="A10391" t="str">
        <f>T("   731029")</f>
        <v xml:space="preserve">   731029</v>
      </c>
      <c r="B10391" t="str">
        <f>T("   Réservoirs, fûts, tambours, bidons et récipients simil., en fer ou en acier, pour toutes matières, contenance &lt; 50 l, n.d.a. (sauf pour gaz comprimés ou liquéfiés, sans dispositifs mécaniques ou thermiques et à l'excl. des boîtes)")</f>
        <v xml:space="preserve">   Réservoirs, fûts, tambours, bidons et récipients simil., en fer ou en acier, pour toutes matières, contenance &lt; 50 l, n.d.a. (sauf pour gaz comprimés ou liquéfiés, sans dispositifs mécaniques ou thermiques et à l'excl. des boîtes)</v>
      </c>
      <c r="C10391">
        <v>745798</v>
      </c>
      <c r="D10391">
        <v>1970</v>
      </c>
    </row>
    <row r="10392" spans="1:4" x14ac:dyDescent="0.25">
      <c r="A10392" t="str">
        <f>T("   731100")</f>
        <v xml:space="preserve">   731100</v>
      </c>
      <c r="B10392" t="str">
        <f>T("   Récipients en fonte, fer ou acier, pour gaz comprimés ou liquéfiés (autres que conteneurs spécialement conçus ou équipés pour un ou plusieurs moyens de transport)")</f>
        <v xml:space="preserve">   Récipients en fonte, fer ou acier, pour gaz comprimés ou liquéfiés (autres que conteneurs spécialement conçus ou équipés pour un ou plusieurs moyens de transport)</v>
      </c>
      <c r="C10392">
        <v>43456</v>
      </c>
      <c r="D10392">
        <v>320</v>
      </c>
    </row>
    <row r="10393" spans="1:4" x14ac:dyDescent="0.25">
      <c r="A10393" t="str">
        <f>T("   731449")</f>
        <v xml:space="preserve">   731449</v>
      </c>
      <c r="B10393" t="str">
        <f>T("   Toiles métalliques nontissées, grillages et treillis, en fils de fer ou d'acier, non soudés aux points de rencontre (sauf zingués ou recouverts de matières plastiques)")</f>
        <v xml:space="preserve">   Toiles métalliques nontissées, grillages et treillis, en fils de fer ou d'acier, non soudés aux points de rencontre (sauf zingués ou recouverts de matières plastiques)</v>
      </c>
      <c r="C10393">
        <v>120153</v>
      </c>
      <c r="D10393">
        <v>1500</v>
      </c>
    </row>
    <row r="10394" spans="1:4" x14ac:dyDescent="0.25">
      <c r="A10394" t="str">
        <f>T("   731450")</f>
        <v xml:space="preserve">   731450</v>
      </c>
      <c r="B10394" t="str">
        <f>T("   Tôles et bandes déployées en fer ou en acier")</f>
        <v xml:space="preserve">   Tôles et bandes déployées en fer ou en acier</v>
      </c>
      <c r="C10394">
        <v>53239197</v>
      </c>
      <c r="D10394">
        <v>182000</v>
      </c>
    </row>
    <row r="10395" spans="1:4" x14ac:dyDescent="0.25">
      <c r="A10395" t="str">
        <f>T("   731700")</f>
        <v xml:space="preserve">   731700</v>
      </c>
      <c r="B10395" t="str">
        <f>T("   Pointes, clous, punaises, crampons appointés, agrafes ondulées ou biseautées et articles simil., en fonte, fer ou acier, même avec tête en autre matière (à l'excl. de ceux avec tête en cuivre et à l'excl. des agrafes en barrettes)")</f>
        <v xml:space="preserve">   Pointes, clous, punaises, crampons appointés, agrafes ondulées ou biseautées et articles simil., en fonte, fer ou acier, même avec tête en autre matière (à l'excl. de ceux avec tête en cuivre et à l'excl. des agrafes en barrettes)</v>
      </c>
      <c r="C10395">
        <v>168462079</v>
      </c>
      <c r="D10395">
        <v>560230</v>
      </c>
    </row>
    <row r="10396" spans="1:4" x14ac:dyDescent="0.25">
      <c r="A10396" t="str">
        <f>T("   731920")</f>
        <v xml:space="preserve">   731920</v>
      </c>
      <c r="B10396" t="str">
        <f>T("   EPINGLES DE S¹RETÉ EN FER OU EN ACIER")</f>
        <v xml:space="preserve">   EPINGLES DE S¹RETÉ EN FER OU EN ACIER</v>
      </c>
      <c r="C10396">
        <v>198000</v>
      </c>
      <c r="D10396">
        <v>220</v>
      </c>
    </row>
    <row r="10397" spans="1:4" x14ac:dyDescent="0.25">
      <c r="A10397" t="str">
        <f>T("   732111")</f>
        <v xml:space="preserve">   732111</v>
      </c>
      <c r="B10397" t="s">
        <v>361</v>
      </c>
      <c r="C10397">
        <v>724096</v>
      </c>
      <c r="D10397">
        <v>2980</v>
      </c>
    </row>
    <row r="10398" spans="1:4" x14ac:dyDescent="0.25">
      <c r="A10398" t="str">
        <f>T("   732112")</f>
        <v xml:space="preserve">   732112</v>
      </c>
      <c r="B10398" t="s">
        <v>362</v>
      </c>
      <c r="C10398">
        <v>98668</v>
      </c>
      <c r="D10398">
        <v>2300</v>
      </c>
    </row>
    <row r="10399" spans="1:4" x14ac:dyDescent="0.25">
      <c r="A10399" t="str">
        <f>T("   732113")</f>
        <v xml:space="preserve">   732113</v>
      </c>
      <c r="B10399" t="str">
        <f>T("   Appareils de cuisson tels que foyers de cuisson, barbecues, grilloirs, réchauds et cuisinières, et chauffe-plats, à usage domestique, en fonte, fer ou acier, à combustibles solides (à l'excl. des appareils destinés à la cuisine à grande échelle)")</f>
        <v xml:space="preserve">   Appareils de cuisson tels que foyers de cuisson, barbecues, grilloirs, réchauds et cuisinières, et chauffe-plats, à usage domestique, en fonte, fer ou acier, à combustibles solides (à l'excl. des appareils destinés à la cuisine à grande échelle)</v>
      </c>
      <c r="C10399">
        <v>76461</v>
      </c>
      <c r="D10399">
        <v>98</v>
      </c>
    </row>
    <row r="10400" spans="1:4" x14ac:dyDescent="0.25">
      <c r="A10400" t="str">
        <f>T("   732310")</f>
        <v xml:space="preserve">   732310</v>
      </c>
      <c r="B10400" t="str">
        <f>T("   Paille de fer ou d'acier; éponges, torchons, gants et articles simil. pour le récurage, le polissage ou usages analogues, en fer ou acier")</f>
        <v xml:space="preserve">   Paille de fer ou d'acier; éponges, torchons, gants et articles simil. pour le récurage, le polissage ou usages analogues, en fer ou acier</v>
      </c>
      <c r="C10400">
        <v>3048102</v>
      </c>
      <c r="D10400">
        <v>10895</v>
      </c>
    </row>
    <row r="10401" spans="1:4" x14ac:dyDescent="0.25">
      <c r="A10401" t="str">
        <f>T("   732392")</f>
        <v xml:space="preserve">   732392</v>
      </c>
      <c r="B10401" t="s">
        <v>365</v>
      </c>
      <c r="C10401">
        <v>25251080</v>
      </c>
      <c r="D10401">
        <v>787054</v>
      </c>
    </row>
    <row r="10402" spans="1:4" x14ac:dyDescent="0.25">
      <c r="A10402" t="str">
        <f>T("   732394")</f>
        <v xml:space="preserve">   732394</v>
      </c>
      <c r="B10402" t="s">
        <v>367</v>
      </c>
      <c r="C10402">
        <v>109230</v>
      </c>
      <c r="D10402">
        <v>320</v>
      </c>
    </row>
    <row r="10403" spans="1:4" x14ac:dyDescent="0.25">
      <c r="A10403" t="str">
        <f>T("   732399")</f>
        <v xml:space="preserve">   732399</v>
      </c>
      <c r="B10403" t="s">
        <v>368</v>
      </c>
      <c r="C10403">
        <v>4201513</v>
      </c>
      <c r="D10403">
        <v>35910</v>
      </c>
    </row>
    <row r="10404" spans="1:4" x14ac:dyDescent="0.25">
      <c r="A10404" t="str">
        <f>T("   732410")</f>
        <v xml:space="preserve">   732410</v>
      </c>
      <c r="B10404" t="str">
        <f>T("   ÉVIERS ET LAVABOS EN ACIER INOXYDABLE")</f>
        <v xml:space="preserve">   ÉVIERS ET LAVABOS EN ACIER INOXYDABLE</v>
      </c>
      <c r="C10404">
        <v>2500000</v>
      </c>
      <c r="D10404">
        <v>2894</v>
      </c>
    </row>
    <row r="10405" spans="1:4" x14ac:dyDescent="0.25">
      <c r="A10405" t="str">
        <f>T("   732510")</f>
        <v xml:space="preserve">   732510</v>
      </c>
      <c r="B10405" t="str">
        <f>T("   OUVRAGES EN FER OU EN ACIER, EN FONTE NON-MALLÉABLE, MOULÉS, N.D.A.")</f>
        <v xml:space="preserve">   OUVRAGES EN FER OU EN ACIER, EN FONTE NON-MALLÉABLE, MOULÉS, N.D.A.</v>
      </c>
      <c r="C10405">
        <v>502458</v>
      </c>
      <c r="D10405">
        <v>590</v>
      </c>
    </row>
    <row r="10406" spans="1:4" x14ac:dyDescent="0.25">
      <c r="A10406" t="str">
        <f>T("   732619")</f>
        <v xml:space="preserve">   732619</v>
      </c>
      <c r="B10406" t="str">
        <f>T("   Ouvrages en fer ou en acier, forgés ou estampés mais non autrement travaillés, n.d.a. (sauf boulets et articles simil. pour broyeurs)")</f>
        <v xml:space="preserve">   Ouvrages en fer ou en acier, forgés ou estampés mais non autrement travaillés, n.d.a. (sauf boulets et articles simil. pour broyeurs)</v>
      </c>
      <c r="C10406">
        <v>4380650</v>
      </c>
      <c r="D10406">
        <v>5885</v>
      </c>
    </row>
    <row r="10407" spans="1:4" x14ac:dyDescent="0.25">
      <c r="A10407" t="str">
        <f>T("   732620")</f>
        <v xml:space="preserve">   732620</v>
      </c>
      <c r="B10407" t="str">
        <f>T("   Ouvrages en fil de fer ou d'acier, n.d.a.")</f>
        <v xml:space="preserve">   Ouvrages en fil de fer ou d'acier, n.d.a.</v>
      </c>
      <c r="C10407">
        <v>40139000</v>
      </c>
      <c r="D10407">
        <v>110000</v>
      </c>
    </row>
    <row r="10408" spans="1:4" x14ac:dyDescent="0.25">
      <c r="A10408" t="str">
        <f>T("   732690")</f>
        <v xml:space="preserve">   732690</v>
      </c>
      <c r="B10408"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10408">
        <v>218460</v>
      </c>
      <c r="D10408">
        <v>1990</v>
      </c>
    </row>
    <row r="10409" spans="1:4" x14ac:dyDescent="0.25">
      <c r="A10409" t="str">
        <f>T("   741129")</f>
        <v xml:space="preserve">   741129</v>
      </c>
      <c r="B10409" t="str">
        <f>T("   Tubes et tuyaux en alliages de cuivre (sauf en alliages à base de cuivre-zinc -laiton-, de cuivre-nickel -cupronickel-, ou de cuivre-nickel-zinc -maillechort-)")</f>
        <v xml:space="preserve">   Tubes et tuyaux en alliages de cuivre (sauf en alliages à base de cuivre-zinc -laiton-, de cuivre-nickel -cupronickel-, ou de cuivre-nickel-zinc -maillechort-)</v>
      </c>
      <c r="C10409">
        <v>181230</v>
      </c>
      <c r="D10409">
        <v>260</v>
      </c>
    </row>
    <row r="10410" spans="1:4" x14ac:dyDescent="0.25">
      <c r="A10410" t="str">
        <f>T("   741539")</f>
        <v xml:space="preserve">   741539</v>
      </c>
      <c r="B10410" t="str">
        <f>T("   Crochets à pas de vis, vis à oeillet, tampons et articles simil., filetés, en cuivre (sauf vis ordinaires et sauf boulons et écrous)")</f>
        <v xml:space="preserve">   Crochets à pas de vis, vis à oeillet, tampons et articles simil., filetés, en cuivre (sauf vis ordinaires et sauf boulons et écrous)</v>
      </c>
      <c r="C10410">
        <v>65000</v>
      </c>
      <c r="D10410">
        <v>50</v>
      </c>
    </row>
    <row r="10411" spans="1:4" x14ac:dyDescent="0.25">
      <c r="A10411" t="str">
        <f>T("   741999")</f>
        <v xml:space="preserve">   741999</v>
      </c>
      <c r="B10411" t="str">
        <f>T("   Ouvrages en cuivre, n.d.a.")</f>
        <v xml:space="preserve">   Ouvrages en cuivre, n.d.a.</v>
      </c>
      <c r="C10411">
        <v>70345</v>
      </c>
      <c r="D10411">
        <v>2000</v>
      </c>
    </row>
    <row r="10412" spans="1:4" x14ac:dyDescent="0.25">
      <c r="A10412" t="str">
        <f>T("   760410")</f>
        <v xml:space="preserve">   760410</v>
      </c>
      <c r="B10412" t="str">
        <f>T("   BARRES ET PROFILÉS EN ALUMINIUM NON-ALLIÉ, N.D.A.")</f>
        <v xml:space="preserve">   BARRES ET PROFILÉS EN ALUMINIUM NON-ALLIÉ, N.D.A.</v>
      </c>
      <c r="C10412">
        <v>2150200</v>
      </c>
      <c r="D10412">
        <v>3590</v>
      </c>
    </row>
    <row r="10413" spans="1:4" x14ac:dyDescent="0.25">
      <c r="A10413" t="str">
        <f>T("   760421")</f>
        <v xml:space="preserve">   760421</v>
      </c>
      <c r="B10413" t="str">
        <f>T("   Profilés creux en alliages d'aluminium, n.d.a.")</f>
        <v xml:space="preserve">   Profilés creux en alliages d'aluminium, n.d.a.</v>
      </c>
      <c r="C10413">
        <v>209000</v>
      </c>
      <c r="D10413">
        <v>530</v>
      </c>
    </row>
    <row r="10414" spans="1:4" x14ac:dyDescent="0.25">
      <c r="A10414" t="str">
        <f>T("   760429")</f>
        <v xml:space="preserve">   760429</v>
      </c>
      <c r="B10414" t="str">
        <f>T("   Barres et profilés pleins en alliages d'aluminium, n.d.a.")</f>
        <v xml:space="preserve">   Barres et profilés pleins en alliages d'aluminium, n.d.a.</v>
      </c>
      <c r="C10414">
        <v>9023910</v>
      </c>
      <c r="D10414">
        <v>16331</v>
      </c>
    </row>
    <row r="10415" spans="1:4" x14ac:dyDescent="0.25">
      <c r="A10415" t="str">
        <f>T("   760611")</f>
        <v xml:space="preserve">   760611</v>
      </c>
      <c r="B10415" t="str">
        <f>T("   TÔLES ET BANDES EN ALUMINIUM NON-ALLIÉ, D'UNE ÉPAISSEUR &gt; 0,2 MM, DE FORME CARRÉE OU RECTANGULAIRE (SAUF TÔLES ET BANDES DÉPLOYÉES)")</f>
        <v xml:space="preserve">   TÔLES ET BANDES EN ALUMINIUM NON-ALLIÉ, D'UNE ÉPAISSEUR &gt; 0,2 MM, DE FORME CARRÉE OU RECTANGULAIRE (SAUF TÔLES ET BANDES DÉPLOYÉES)</v>
      </c>
      <c r="C10415">
        <v>370029</v>
      </c>
      <c r="D10415">
        <v>140</v>
      </c>
    </row>
    <row r="10416" spans="1:4" x14ac:dyDescent="0.25">
      <c r="A10416" t="str">
        <f>T("   760820")</f>
        <v xml:space="preserve">   760820</v>
      </c>
      <c r="B10416" t="str">
        <f>T("   Tubes et tuyaux en alliages d'aluminium (sauf profilés creux)")</f>
        <v xml:space="preserve">   Tubes et tuyaux en alliages d'aluminium (sauf profilés creux)</v>
      </c>
      <c r="C10416">
        <v>12000000</v>
      </c>
      <c r="D10416">
        <v>40000</v>
      </c>
    </row>
    <row r="10417" spans="1:4" x14ac:dyDescent="0.25">
      <c r="A10417" t="str">
        <f>T("   761010")</f>
        <v xml:space="preserve">   761010</v>
      </c>
      <c r="B10417" t="str">
        <f>T("   Portes, fenêtres et leurs cadres, chambranles et seuils, en aluminium (sauf pièces de garnissage)")</f>
        <v xml:space="preserve">   Portes, fenêtres et leurs cadres, chambranles et seuils, en aluminium (sauf pièces de garnissage)</v>
      </c>
      <c r="C10417">
        <v>2708690</v>
      </c>
      <c r="D10417">
        <v>14480</v>
      </c>
    </row>
    <row r="10418" spans="1:4" x14ac:dyDescent="0.25">
      <c r="A10418" t="str">
        <f>T("   761090")</f>
        <v xml:space="preserve">   761090</v>
      </c>
      <c r="B10418" t="str">
        <f>T("   Constructions et parties de constructions, en aluminium, n.d.a., ainsi que tôles, barres, profilés, tubes, tuyaux et simil., en aluminium, n.d.a; (sauf constructions préfabriquées du n° 9406, portes, fenêtres et leurs cadres, chambranles et seuils)")</f>
        <v xml:space="preserve">   Constructions et parties de constructions, en aluminium, n.d.a., ainsi que tôles, barres, profilés, tubes, tuyaux et simil., en aluminium, n.d.a; (sauf constructions préfabriquées du n° 9406, portes, fenêtres et leurs cadres, chambranles et seuils)</v>
      </c>
      <c r="C10418">
        <v>98967996</v>
      </c>
      <c r="D10418">
        <v>54944</v>
      </c>
    </row>
    <row r="10419" spans="1:4" x14ac:dyDescent="0.25">
      <c r="A10419" t="str">
        <f>T("   761511")</f>
        <v xml:space="preserve">   761511</v>
      </c>
      <c r="B10419" t="str">
        <f>T("   Eponges, torchons, gants et articles simil. pour le récurage, le polissage et usages analogues, en aluminium (à l'excl. des articles d'hygiène et de toilette)")</f>
        <v xml:space="preserve">   Eponges, torchons, gants et articles simil. pour le récurage, le polissage et usages analogues, en aluminium (à l'excl. des articles d'hygiène et de toilette)</v>
      </c>
      <c r="C10419">
        <v>191300</v>
      </c>
      <c r="D10419">
        <v>815</v>
      </c>
    </row>
    <row r="10420" spans="1:4" x14ac:dyDescent="0.25">
      <c r="A10420" t="str">
        <f>T("   761519")</f>
        <v xml:space="preserve">   761519</v>
      </c>
      <c r="B10420" t="s">
        <v>373</v>
      </c>
      <c r="C10420">
        <v>97245</v>
      </c>
      <c r="D10420">
        <v>25</v>
      </c>
    </row>
    <row r="10421" spans="1:4" x14ac:dyDescent="0.25">
      <c r="A10421" t="str">
        <f>T("   761610")</f>
        <v xml:space="preserve">   761610</v>
      </c>
      <c r="B10421" t="s">
        <v>374</v>
      </c>
      <c r="C10421">
        <v>713992</v>
      </c>
      <c r="D10421">
        <v>940</v>
      </c>
    </row>
    <row r="10422" spans="1:4" x14ac:dyDescent="0.25">
      <c r="A10422" t="str">
        <f>T("   761699")</f>
        <v xml:space="preserve">   761699</v>
      </c>
      <c r="B10422" t="str">
        <f>T("   Ouvrages en aluminium, n.d.a.")</f>
        <v xml:space="preserve">   Ouvrages en aluminium, n.d.a.</v>
      </c>
      <c r="C10422">
        <v>1243710</v>
      </c>
      <c r="D10422">
        <v>3045</v>
      </c>
    </row>
    <row r="10423" spans="1:4" x14ac:dyDescent="0.25">
      <c r="A10423" t="str">
        <f>T("   780419")</f>
        <v xml:space="preserve">   780419</v>
      </c>
      <c r="B10423" t="str">
        <f>T("   Tables en plomb; feuilles et bandes, en plomb, épaisseur, support non compris, &gt; 0,2 mm")</f>
        <v xml:space="preserve">   Tables en plomb; feuilles et bandes, en plomb, épaisseur, support non compris, &gt; 0,2 mm</v>
      </c>
      <c r="C10423">
        <v>1476015</v>
      </c>
      <c r="D10423">
        <v>2200</v>
      </c>
    </row>
    <row r="10424" spans="1:4" x14ac:dyDescent="0.25">
      <c r="A10424" t="str">
        <f>T("   790500")</f>
        <v xml:space="preserve">   790500</v>
      </c>
      <c r="B10424" t="str">
        <f>T("   TOLES, BANDES ET FEUILLES EN ZINC")</f>
        <v xml:space="preserve">   TOLES, BANDES ET FEUILLES EN ZINC</v>
      </c>
      <c r="C10424">
        <v>182410</v>
      </c>
      <c r="D10424">
        <v>400</v>
      </c>
    </row>
    <row r="10425" spans="1:4" x14ac:dyDescent="0.25">
      <c r="A10425" t="str">
        <f>T("   820190")</f>
        <v xml:space="preserve">   820190</v>
      </c>
      <c r="B10425" t="s">
        <v>375</v>
      </c>
      <c r="C10425">
        <v>961224</v>
      </c>
      <c r="D10425">
        <v>8790</v>
      </c>
    </row>
    <row r="10426" spans="1:4" x14ac:dyDescent="0.25">
      <c r="A10426" t="str">
        <f>T("   820220")</f>
        <v xml:space="preserve">   820220</v>
      </c>
      <c r="B10426" t="str">
        <f>T("   Lames de scies à ruban en métaux communs")</f>
        <v xml:space="preserve">   Lames de scies à ruban en métaux communs</v>
      </c>
      <c r="C10426">
        <v>295203</v>
      </c>
      <c r="D10426">
        <v>150</v>
      </c>
    </row>
    <row r="10427" spans="1:4" x14ac:dyDescent="0.25">
      <c r="A10427" t="str">
        <f>T("   820719")</f>
        <v xml:space="preserve">   820719</v>
      </c>
      <c r="B10427" t="str">
        <f>T("   Outils de forage ou de sondage, interchangeables, et leurs parties, avec partie travaillante en matières autres qu'en carbures métalliques frittés ou en cermets")</f>
        <v xml:space="preserve">   Outils de forage ou de sondage, interchangeables, et leurs parties, avec partie travaillante en matières autres qu'en carbures métalliques frittés ou en cermets</v>
      </c>
      <c r="C10427">
        <v>87273</v>
      </c>
      <c r="D10427">
        <v>280</v>
      </c>
    </row>
    <row r="10428" spans="1:4" x14ac:dyDescent="0.25">
      <c r="A10428" t="str">
        <f>T("   821300")</f>
        <v xml:space="preserve">   821300</v>
      </c>
      <c r="B10428" t="str">
        <f>T("   Ciseaux à doubles branches et leurs lames, en métaux communs (sauf taille-haies, cisailles et articles simil. actionnés des deux mains, sécateurs et articles simil. actionnés d'une main et sauf ciseaux spéciaux de maréchal-ferrant)")</f>
        <v xml:space="preserve">   Ciseaux à doubles branches et leurs lames, en métaux communs (sauf taille-haies, cisailles et articles simil. actionnés des deux mains, sécateurs et articles simil. actionnés d'une main et sauf ciseaux spéciaux de maréchal-ferrant)</v>
      </c>
      <c r="C10428">
        <v>130293</v>
      </c>
      <c r="D10428">
        <v>820</v>
      </c>
    </row>
    <row r="10429" spans="1:4" x14ac:dyDescent="0.25">
      <c r="A10429" t="str">
        <f>T("   830140")</f>
        <v xml:space="preserve">   830140</v>
      </c>
      <c r="B10429" t="str">
        <f>T("   Serrures et verrous, en métaux communs (autres que cadenas et serrures des types utilisés pour véhicules automobiles ou meubles)")</f>
        <v xml:space="preserve">   Serrures et verrous, en métaux communs (autres que cadenas et serrures des types utilisés pour véhicules automobiles ou meubles)</v>
      </c>
      <c r="C10429">
        <v>579641</v>
      </c>
      <c r="D10429">
        <v>4850</v>
      </c>
    </row>
    <row r="10430" spans="1:4" x14ac:dyDescent="0.25">
      <c r="A10430" t="str">
        <f>T("   830210")</f>
        <v xml:space="preserve">   830210</v>
      </c>
      <c r="B10430" t="str">
        <f>T("   Charnières de tous genres, y.c. les paumelles et pentures, en métaux communs")</f>
        <v xml:space="preserve">   Charnières de tous genres, y.c. les paumelles et pentures, en métaux communs</v>
      </c>
      <c r="C10430">
        <v>2625000</v>
      </c>
      <c r="D10430">
        <v>19800</v>
      </c>
    </row>
    <row r="10431" spans="1:4" x14ac:dyDescent="0.25">
      <c r="A10431" t="str">
        <f>T("   830300")</f>
        <v xml:space="preserve">   830300</v>
      </c>
      <c r="B10431" t="str">
        <f>T("   Coffres-forts, portes blindées et compartiments pour chambres fortes, coffres et cassettes de sûreté et articles simil., en métaux communs")</f>
        <v xml:space="preserve">   Coffres-forts, portes blindées et compartiments pour chambres fortes, coffres et cassettes de sûreté et articles simil., en métaux communs</v>
      </c>
      <c r="C10431">
        <v>1225214</v>
      </c>
      <c r="D10431">
        <v>5460</v>
      </c>
    </row>
    <row r="10432" spans="1:4" x14ac:dyDescent="0.25">
      <c r="A10432" t="str">
        <f>T("   830630")</f>
        <v xml:space="preserve">   830630</v>
      </c>
      <c r="B10432" t="str">
        <f>T("   Cadres pour photographies, gravures ou simil., en métaux communs; miroirs, en métaux communs (sauf éléments optiques)")</f>
        <v xml:space="preserve">   Cadres pour photographies, gravures ou simil., en métaux communs; miroirs, en métaux communs (sauf éléments optiques)</v>
      </c>
      <c r="C10432">
        <v>834053</v>
      </c>
      <c r="D10432">
        <v>4290</v>
      </c>
    </row>
    <row r="10433" spans="1:4" x14ac:dyDescent="0.25">
      <c r="A10433" t="str">
        <f>T("   830990")</f>
        <v xml:space="preserve">   830990</v>
      </c>
      <c r="B10433" t="str">
        <f>T("   Bouchons [y.c. les bouchons à pas de vis et les bouchons-verseurs], couvercles, capsules pour bouteilles, bondes filetées, plaques de bondes, scellés et autres accessoires d'emballage, en métaux communs (à l'excl. des bouchons-couronnes)")</f>
        <v xml:space="preserve">   Bouchons [y.c. les bouchons à pas de vis et les bouchons-verseurs], couvercles, capsules pour bouteilles, bondes filetées, plaques de bondes, scellés et autres accessoires d'emballage, en métaux communs (à l'excl. des bouchons-couronnes)</v>
      </c>
      <c r="C10433">
        <v>122500</v>
      </c>
      <c r="D10433">
        <v>4750</v>
      </c>
    </row>
    <row r="10434" spans="1:4" x14ac:dyDescent="0.25">
      <c r="A10434" t="str">
        <f>T("   840721")</f>
        <v xml:space="preserve">   840721</v>
      </c>
      <c r="B10434" t="s">
        <v>387</v>
      </c>
      <c r="C10434">
        <v>501342</v>
      </c>
      <c r="D10434">
        <v>350</v>
      </c>
    </row>
    <row r="10435" spans="1:4" x14ac:dyDescent="0.25">
      <c r="A10435" t="str">
        <f>T("   840732")</f>
        <v xml:space="preserve">   840732</v>
      </c>
      <c r="B10435" t="s">
        <v>389</v>
      </c>
      <c r="C10435">
        <v>126519</v>
      </c>
      <c r="D10435">
        <v>1293.45</v>
      </c>
    </row>
    <row r="10436" spans="1:4" x14ac:dyDescent="0.25">
      <c r="A10436" t="str">
        <f>T("   840734")</f>
        <v xml:space="preserve">   840734</v>
      </c>
      <c r="B10436" t="s">
        <v>390</v>
      </c>
      <c r="C10436">
        <v>295203</v>
      </c>
      <c r="D10436">
        <v>960</v>
      </c>
    </row>
    <row r="10437" spans="1:4" x14ac:dyDescent="0.25">
      <c r="A10437" t="str">
        <f>T("   840820")</f>
        <v xml:space="preserve">   840820</v>
      </c>
      <c r="B10437" t="s">
        <v>392</v>
      </c>
      <c r="C10437">
        <v>2852117</v>
      </c>
      <c r="D10437">
        <v>6935</v>
      </c>
    </row>
    <row r="10438" spans="1:4" x14ac:dyDescent="0.25">
      <c r="A10438" t="str">
        <f>T("   840890")</f>
        <v xml:space="preserve">   840890</v>
      </c>
      <c r="B10438" t="s">
        <v>393</v>
      </c>
      <c r="C10438">
        <v>15523043</v>
      </c>
      <c r="D10438">
        <v>1650</v>
      </c>
    </row>
    <row r="10439" spans="1:4" x14ac:dyDescent="0.25">
      <c r="A10439" t="str">
        <f>T("   841319")</f>
        <v xml:space="preserve">   841319</v>
      </c>
      <c r="B10439" t="str">
        <f>T("   Pompes pour liquides, avec dispositif mesureur ou conçues pour en comporter (sauf pompes pour la distribution de carburants ou lubrifiants, des types utilisés dans les stations-service ou les garages)")</f>
        <v xml:space="preserve">   Pompes pour liquides, avec dispositif mesureur ou conçues pour en comporter (sauf pompes pour la distribution de carburants ou lubrifiants, des types utilisés dans les stations-service ou les garages)</v>
      </c>
      <c r="C10439">
        <v>1000000</v>
      </c>
      <c r="D10439">
        <v>20</v>
      </c>
    </row>
    <row r="10440" spans="1:4" x14ac:dyDescent="0.25">
      <c r="A10440" t="str">
        <f>T("   841370")</f>
        <v xml:space="preserve">   841370</v>
      </c>
      <c r="B10440" t="s">
        <v>396</v>
      </c>
      <c r="C10440">
        <v>3200000</v>
      </c>
      <c r="D10440">
        <v>1900</v>
      </c>
    </row>
    <row r="10441" spans="1:4" x14ac:dyDescent="0.25">
      <c r="A10441" t="str">
        <f>T("   841382")</f>
        <v xml:space="preserve">   841382</v>
      </c>
      <c r="B10441" t="str">
        <f>T("   Elévateurs à liquides (à l'excl. des pompes)")</f>
        <v xml:space="preserve">   Elévateurs à liquides (à l'excl. des pompes)</v>
      </c>
      <c r="C10441">
        <v>4335000</v>
      </c>
      <c r="D10441">
        <v>13690</v>
      </c>
    </row>
    <row r="10442" spans="1:4" x14ac:dyDescent="0.25">
      <c r="A10442" t="str">
        <f>T("   841430")</f>
        <v xml:space="preserve">   841430</v>
      </c>
      <c r="B10442" t="str">
        <f>T("   Compresseurs des types utilisés pour équipements frigorifiques")</f>
        <v xml:space="preserve">   Compresseurs des types utilisés pour équipements frigorifiques</v>
      </c>
      <c r="C10442">
        <v>774168</v>
      </c>
      <c r="D10442">
        <v>2530</v>
      </c>
    </row>
    <row r="10443" spans="1:4" x14ac:dyDescent="0.25">
      <c r="A10443" t="str">
        <f>T("   841440")</f>
        <v xml:space="preserve">   841440</v>
      </c>
      <c r="B10443" t="str">
        <f>T("   Compresseurs d'air montés sur châssis à roues et remorquables")</f>
        <v xml:space="preserve">   Compresseurs d'air montés sur châssis à roues et remorquables</v>
      </c>
      <c r="C10443">
        <v>461522</v>
      </c>
      <c r="D10443">
        <v>80</v>
      </c>
    </row>
    <row r="10444" spans="1:4" x14ac:dyDescent="0.25">
      <c r="A10444" t="str">
        <f>T("   841451")</f>
        <v xml:space="preserve">   841451</v>
      </c>
      <c r="B10444" t="str">
        <f>T("   Ventilateurs de table, de sol, muraux, plafonniers, de toitures ou de fenêtres, à moteur électrique incorporé, d'une puissance &lt;= 125 W")</f>
        <v xml:space="preserve">   Ventilateurs de table, de sol, muraux, plafonniers, de toitures ou de fenêtres, à moteur électrique incorporé, d'une puissance &lt;= 125 W</v>
      </c>
      <c r="C10444">
        <v>1761694</v>
      </c>
      <c r="D10444">
        <v>10940</v>
      </c>
    </row>
    <row r="10445" spans="1:4" x14ac:dyDescent="0.25">
      <c r="A10445" t="str">
        <f>T("   841459")</f>
        <v xml:space="preserve">   841459</v>
      </c>
      <c r="B10445" t="str">
        <f>T("   Ventilateurs (sauf ventilateurs de table, de sol, muraux, plafonniers, de toitures ou de fenêtres, à moteur électrique incorporé, d'une puissance &lt;= 125 W)")</f>
        <v xml:space="preserve">   Ventilateurs (sauf ventilateurs de table, de sol, muraux, plafonniers, de toitures ou de fenêtres, à moteur électrique incorporé, d'une puissance &lt;= 125 W)</v>
      </c>
      <c r="C10445">
        <v>109230</v>
      </c>
      <c r="D10445">
        <v>225</v>
      </c>
    </row>
    <row r="10446" spans="1:4" x14ac:dyDescent="0.25">
      <c r="A10446" t="str">
        <f>T("   841510")</f>
        <v xml:space="preserve">   841510</v>
      </c>
      <c r="B10446" t="s">
        <v>399</v>
      </c>
      <c r="C10446">
        <v>8237846</v>
      </c>
      <c r="D10446">
        <v>9290</v>
      </c>
    </row>
    <row r="10447" spans="1:4" x14ac:dyDescent="0.25">
      <c r="A10447" t="str">
        <f>T("   841520")</f>
        <v xml:space="preserve">   841520</v>
      </c>
      <c r="B10447" t="str">
        <f>T("   Machines et appareils pour le conditionnement de l'air du type de ceux utilisés pour le confort des personnes dans les véhicules automobiles")</f>
        <v xml:space="preserve">   Machines et appareils pour le conditionnement de l'air du type de ceux utilisés pour le confort des personnes dans les véhicules automobiles</v>
      </c>
      <c r="C10447">
        <v>436920</v>
      </c>
      <c r="D10447">
        <v>800</v>
      </c>
    </row>
    <row r="10448" spans="1:4" x14ac:dyDescent="0.25">
      <c r="A10448" t="str">
        <f>T("   841581")</f>
        <v xml:space="preserve">   841581</v>
      </c>
      <c r="B10448" t="s">
        <v>400</v>
      </c>
      <c r="C10448">
        <v>1000000</v>
      </c>
      <c r="D10448">
        <v>475</v>
      </c>
    </row>
    <row r="10449" spans="1:4" x14ac:dyDescent="0.25">
      <c r="A10449" t="str">
        <f>T("   841610")</f>
        <v xml:space="preserve">   841610</v>
      </c>
      <c r="B10449" t="str">
        <f>T("   Brûleurs pour foyers à combustibles liquides")</f>
        <v xml:space="preserve">   Brûleurs pour foyers à combustibles liquides</v>
      </c>
      <c r="C10449">
        <v>342339</v>
      </c>
      <c r="D10449">
        <v>790</v>
      </c>
    </row>
    <row r="10450" spans="1:4" x14ac:dyDescent="0.25">
      <c r="A10450" t="str">
        <f>T("   841810")</f>
        <v xml:space="preserve">   841810</v>
      </c>
      <c r="B10450" t="str">
        <f>T("   Réfrigérateurs et congélateurs-conservateurs combinés, avec portes extérieures séparées")</f>
        <v xml:space="preserve">   Réfrigérateurs et congélateurs-conservateurs combinés, avec portes extérieures séparées</v>
      </c>
      <c r="C10450">
        <v>1609230</v>
      </c>
      <c r="D10450">
        <v>2900</v>
      </c>
    </row>
    <row r="10451" spans="1:4" x14ac:dyDescent="0.25">
      <c r="A10451" t="str">
        <f>T("   841821")</f>
        <v xml:space="preserve">   841821</v>
      </c>
      <c r="B10451" t="str">
        <f>T("   Réfrigérateurs ménagers à compression")</f>
        <v xml:space="preserve">   Réfrigérateurs ménagers à compression</v>
      </c>
      <c r="C10451">
        <v>3980671</v>
      </c>
      <c r="D10451">
        <v>113685</v>
      </c>
    </row>
    <row r="10452" spans="1:4" x14ac:dyDescent="0.25">
      <c r="A10452" t="str">
        <f>T("   841822")</f>
        <v xml:space="preserve">   841822</v>
      </c>
      <c r="B10452" t="str">
        <f>T("   Réfrigérateurs ménagers à absorption, électriques")</f>
        <v xml:space="preserve">   Réfrigérateurs ménagers à absorption, électriques</v>
      </c>
      <c r="C10452">
        <v>500000</v>
      </c>
      <c r="D10452">
        <v>3465</v>
      </c>
    </row>
    <row r="10453" spans="1:4" x14ac:dyDescent="0.25">
      <c r="A10453" t="str">
        <f>T("   841829")</f>
        <v xml:space="preserve">   841829</v>
      </c>
      <c r="B10453" t="str">
        <f>T("   Réfrigérateurs ménagers à absorption, non-électriques")</f>
        <v xml:space="preserve">   Réfrigérateurs ménagers à absorption, non-électriques</v>
      </c>
      <c r="C10453">
        <v>3300453</v>
      </c>
      <c r="D10453">
        <v>10266</v>
      </c>
    </row>
    <row r="10454" spans="1:4" x14ac:dyDescent="0.25">
      <c r="A10454" t="str">
        <f>T("   841850")</f>
        <v xml:space="preserve">   841850</v>
      </c>
      <c r="B10454" t="s">
        <v>404</v>
      </c>
      <c r="C10454">
        <v>4000000</v>
      </c>
      <c r="D10454">
        <v>4520</v>
      </c>
    </row>
    <row r="10455" spans="1:4" x14ac:dyDescent="0.25">
      <c r="A10455" t="str">
        <f>T("   841869")</f>
        <v xml:space="preserve">   841869</v>
      </c>
      <c r="B10455" t="str">
        <f>T("   Matériel, machines et appareils pour la production du froid ainsi que pompes à chaleur à absorption (autres que réfrigérateurs et meubles congélateurs-conservateurs)")</f>
        <v xml:space="preserve">   Matériel, machines et appareils pour la production du froid ainsi que pompes à chaleur à absorption (autres que réfrigérateurs et meubles congélateurs-conservateurs)</v>
      </c>
      <c r="C10455">
        <v>325336</v>
      </c>
      <c r="D10455">
        <v>250</v>
      </c>
    </row>
    <row r="10456" spans="1:4" x14ac:dyDescent="0.25">
      <c r="A10456" t="str">
        <f>T("   841899")</f>
        <v xml:space="preserve">   841899</v>
      </c>
      <c r="B10456" t="str">
        <f>T("   Parties de réfrigérateurs et de congélateurs-conservateurs du type armoire et du type coffre et d'autres matériel, machines et appareils pour la production du froid, parties de pompes à chaleur, n.d.a.")</f>
        <v xml:space="preserve">   Parties de réfrigérateurs et de congélateurs-conservateurs du type armoire et du type coffre et d'autres matériel, machines et appareils pour la production du froid, parties de pompes à chaleur, n.d.a.</v>
      </c>
      <c r="C10456">
        <v>2500000</v>
      </c>
      <c r="D10456">
        <v>4260</v>
      </c>
    </row>
    <row r="10457" spans="1:4" x14ac:dyDescent="0.25">
      <c r="A10457" t="str">
        <f>T("   841919")</f>
        <v xml:space="preserve">   841919</v>
      </c>
      <c r="B10457" t="str">
        <f>T("   Chauffe-eau non-électriques, à chauffage instantané ou à accumulation (à l'excl. des chauffe-eau instantanés à gaz et des chaudières ou générateurs mixtes pour chauffage central)")</f>
        <v xml:space="preserve">   Chauffe-eau non-électriques, à chauffage instantané ou à accumulation (à l'excl. des chauffe-eau instantanés à gaz et des chaudières ou générateurs mixtes pour chauffage central)</v>
      </c>
      <c r="C10457">
        <v>1950000</v>
      </c>
      <c r="D10457">
        <v>876</v>
      </c>
    </row>
    <row r="10458" spans="1:4" x14ac:dyDescent="0.25">
      <c r="A10458" t="str">
        <f>T("   841981")</f>
        <v xml:space="preserve">   841981</v>
      </c>
      <c r="B10458" t="str">
        <f>T("   Appareils et dispositifs pour la préparation de boissons chaudes ou la cuisson ou le chauffage des aliments (sauf appareils domestiques)")</f>
        <v xml:space="preserve">   Appareils et dispositifs pour la préparation de boissons chaudes ou la cuisson ou le chauffage des aliments (sauf appareils domestiques)</v>
      </c>
      <c r="C10458">
        <v>29520</v>
      </c>
      <c r="D10458">
        <v>10</v>
      </c>
    </row>
    <row r="10459" spans="1:4" x14ac:dyDescent="0.25">
      <c r="A10459" t="str">
        <f>T("   842121")</f>
        <v xml:space="preserve">   842121</v>
      </c>
      <c r="B10459" t="str">
        <f>T("   Appareils pour la filtration ou l'épuration des eaux")</f>
        <v xml:space="preserve">   Appareils pour la filtration ou l'épuration des eaux</v>
      </c>
      <c r="C10459">
        <v>107431</v>
      </c>
      <c r="D10459">
        <v>90</v>
      </c>
    </row>
    <row r="10460" spans="1:4" x14ac:dyDescent="0.25">
      <c r="A10460" t="str">
        <f>T("   842123")</f>
        <v xml:space="preserve">   842123</v>
      </c>
      <c r="B10460" t="str">
        <f>T("   Appareils pour la filtration des huiles minérales et carburants pour les moteurs à allumage par étincelles ou par compression")</f>
        <v xml:space="preserve">   Appareils pour la filtration des huiles minérales et carburants pour les moteurs à allumage par étincelles ou par compression</v>
      </c>
      <c r="C10460">
        <v>550000</v>
      </c>
      <c r="D10460">
        <v>500</v>
      </c>
    </row>
    <row r="10461" spans="1:4" x14ac:dyDescent="0.25">
      <c r="A10461" t="str">
        <f>T("   842139")</f>
        <v xml:space="preserve">   842139</v>
      </c>
      <c r="B10461" t="str">
        <f>T("   Appareils pour la filtration ou l'épuration des gaz (autres que pour la séparation isotopique et sauf les filtres d'entrée d'air pour moteurs à allumage par étincelles ou par compression)")</f>
        <v xml:space="preserve">   Appareils pour la filtration ou l'épuration des gaz (autres que pour la séparation isotopique et sauf les filtres d'entrée d'air pour moteurs à allumage par étincelles ou par compression)</v>
      </c>
      <c r="C10461">
        <v>143241</v>
      </c>
      <c r="D10461">
        <v>200</v>
      </c>
    </row>
    <row r="10462" spans="1:4" x14ac:dyDescent="0.25">
      <c r="A10462" t="str">
        <f>T("   842390")</f>
        <v xml:space="preserve">   842390</v>
      </c>
      <c r="B10462" t="str">
        <f>T("   Poids pour balances de tous genres; parties d'appareils et instruments de pesage, n.d.a.")</f>
        <v xml:space="preserve">   Poids pour balances de tous genres; parties d'appareils et instruments de pesage, n.d.a.</v>
      </c>
      <c r="C10462">
        <v>45073626</v>
      </c>
      <c r="D10462">
        <v>790</v>
      </c>
    </row>
    <row r="10463" spans="1:4" x14ac:dyDescent="0.25">
      <c r="A10463" t="str">
        <f>T("   842410")</f>
        <v xml:space="preserve">   842410</v>
      </c>
      <c r="B10463" t="str">
        <f>T("   Extincteurs mécaniques, même chargés (sauf bombes et grenades d'extinction d'incendie)")</f>
        <v xml:space="preserve">   Extincteurs mécaniques, même chargés (sauf bombes et grenades d'extinction d'incendie)</v>
      </c>
      <c r="C10463">
        <v>470332</v>
      </c>
      <c r="D10463">
        <v>508</v>
      </c>
    </row>
    <row r="10464" spans="1:4" x14ac:dyDescent="0.25">
      <c r="A10464" t="str">
        <f>T("   842620")</f>
        <v xml:space="preserve">   842620</v>
      </c>
      <c r="B10464" t="str">
        <f>T("   Grues à tour")</f>
        <v xml:space="preserve">   Grues à tour</v>
      </c>
      <c r="C10464">
        <v>9062029</v>
      </c>
      <c r="D10464">
        <v>12620</v>
      </c>
    </row>
    <row r="10465" spans="1:4" x14ac:dyDescent="0.25">
      <c r="A10465" t="str">
        <f>T("   842831")</f>
        <v xml:space="preserve">   842831</v>
      </c>
      <c r="B10465" t="str">
        <f>T("   Appareils élévateurs, transporteurs ou convoyeurs pour marchandises, à action continue, spécialement conçus pour mines au fond ou autres travaux souterrains (à l'excl. des appareils élévateurs ou transporteurs pneumatiques)")</f>
        <v xml:space="preserve">   Appareils élévateurs, transporteurs ou convoyeurs pour marchandises, à action continue, spécialement conçus pour mines au fond ou autres travaux souterrains (à l'excl. des appareils élévateurs ou transporteurs pneumatiques)</v>
      </c>
      <c r="C10465">
        <v>4000000</v>
      </c>
      <c r="D10465">
        <v>8480</v>
      </c>
    </row>
    <row r="10466" spans="1:4" x14ac:dyDescent="0.25">
      <c r="A10466" t="str">
        <f>T("   842839")</f>
        <v xml:space="preserve">   842839</v>
      </c>
      <c r="B10466" t="str">
        <f>T("   Appareils élévateurs, transporteurs ou convoyeurs pour marchandises, à action continue (autres que conçus pour mines au fond ou pour autres travaux souterrains, autres qu'à benne, à bande ou à courroie et autres que pneumatiques)")</f>
        <v xml:space="preserve">   Appareils élévateurs, transporteurs ou convoyeurs pour marchandises, à action continue (autres que conçus pour mines au fond ou pour autres travaux souterrains, autres qu'à benne, à bande ou à courroie et autres que pneumatiques)</v>
      </c>
      <c r="C10466">
        <v>6400000</v>
      </c>
      <c r="D10466">
        <v>15910</v>
      </c>
    </row>
    <row r="10467" spans="1:4" x14ac:dyDescent="0.25">
      <c r="A10467" t="str">
        <f>T("   842890")</f>
        <v xml:space="preserve">   842890</v>
      </c>
      <c r="B10467" t="str">
        <f>T("   Machines et appareils de levage, chargement, déchargement ou manutention, n.d.a.")</f>
        <v xml:space="preserve">   Machines et appareils de levage, chargement, déchargement ou manutention, n.d.a.</v>
      </c>
      <c r="C10467">
        <v>339950</v>
      </c>
      <c r="D10467">
        <v>60</v>
      </c>
    </row>
    <row r="10468" spans="1:4" x14ac:dyDescent="0.25">
      <c r="A10468" t="str">
        <f>T("   842920")</f>
        <v xml:space="preserve">   842920</v>
      </c>
      <c r="B10468" t="str">
        <f>T("   Niveleuses autopropulsées")</f>
        <v xml:space="preserve">   Niveleuses autopropulsées</v>
      </c>
      <c r="C10468">
        <v>5000000</v>
      </c>
      <c r="D10468">
        <v>30616</v>
      </c>
    </row>
    <row r="10469" spans="1:4" x14ac:dyDescent="0.25">
      <c r="A10469" t="str">
        <f>T("   842940")</f>
        <v xml:space="preserve">   842940</v>
      </c>
      <c r="B10469" t="str">
        <f>T("   Rouleaux compresseurs et autres compacteuses, autopropulsés")</f>
        <v xml:space="preserve">   Rouleaux compresseurs et autres compacteuses, autopropulsés</v>
      </c>
      <c r="C10469">
        <v>13605462</v>
      </c>
      <c r="D10469">
        <v>5375</v>
      </c>
    </row>
    <row r="10470" spans="1:4" x14ac:dyDescent="0.25">
      <c r="A10470" t="str">
        <f>T("   842959")</f>
        <v xml:space="preserve">   842959</v>
      </c>
      <c r="B10470"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10470">
        <v>95283071</v>
      </c>
      <c r="D10470">
        <v>68485</v>
      </c>
    </row>
    <row r="10471" spans="1:4" x14ac:dyDescent="0.25">
      <c r="A10471" t="str">
        <f>T("   843139")</f>
        <v xml:space="preserve">   843139</v>
      </c>
      <c r="B10471" t="str">
        <f>T("   Parties de machines et appareils du n° 8428, n.d.a.")</f>
        <v xml:space="preserve">   Parties de machines et appareils du n° 8428, n.d.a.</v>
      </c>
      <c r="C10471">
        <v>2254390</v>
      </c>
      <c r="D10471">
        <v>4728</v>
      </c>
    </row>
    <row r="10472" spans="1:4" x14ac:dyDescent="0.25">
      <c r="A10472" t="str">
        <f>T("   843810")</f>
        <v xml:space="preserve">   843810</v>
      </c>
      <c r="B10472" t="s">
        <v>419</v>
      </c>
      <c r="C10472">
        <v>716204</v>
      </c>
      <c r="D10472">
        <v>830</v>
      </c>
    </row>
    <row r="10473" spans="1:4" x14ac:dyDescent="0.25">
      <c r="A10473" t="str">
        <f>T("   844090")</f>
        <v xml:space="preserve">   844090</v>
      </c>
      <c r="B10473" t="str">
        <f>T("   Parties de machines et appareils pour le brochage ou la reliure, n.d.a.")</f>
        <v xml:space="preserve">   Parties de machines et appareils pour le brochage ou la reliure, n.d.a.</v>
      </c>
      <c r="C10473">
        <v>53715</v>
      </c>
      <c r="D10473">
        <v>20</v>
      </c>
    </row>
    <row r="10474" spans="1:4" x14ac:dyDescent="0.25">
      <c r="A10474" t="str">
        <f>T("   844240")</f>
        <v xml:space="preserve">   844240</v>
      </c>
      <c r="B10474" t="str">
        <f>T("   Parties de machines, appareils ou matériel à fondre ou à composer les caractères ou pour la préparation ou la fabrication de clichés, planches, cylindres ou autres organes imprimants, n.d.a.")</f>
        <v xml:space="preserve">   Parties de machines, appareils ou matériel à fondre ou à composer les caractères ou pour la préparation ou la fabrication de clichés, planches, cylindres ou autres organes imprimants, n.d.a.</v>
      </c>
      <c r="C10474">
        <v>716204</v>
      </c>
      <c r="D10474">
        <v>400</v>
      </c>
    </row>
    <row r="10475" spans="1:4" x14ac:dyDescent="0.25">
      <c r="A10475" t="str">
        <f>T("   844351")</f>
        <v xml:space="preserve">   844351</v>
      </c>
      <c r="B10475" t="str">
        <f>T("   Machines à imprimer à jet d'encre")</f>
        <v xml:space="preserve">   Machines à imprimer à jet d'encre</v>
      </c>
      <c r="C10475">
        <v>5842505</v>
      </c>
      <c r="D10475">
        <v>620</v>
      </c>
    </row>
    <row r="10476" spans="1:4" x14ac:dyDescent="0.25">
      <c r="A10476" t="str">
        <f>T("   845019")</f>
        <v xml:space="preserve">   845019</v>
      </c>
      <c r="B10476" t="str">
        <f>T("   Machines à laver le linge d'une capacité unitaire exprimée en poids de linge sec &lt;= 6 kg (à l'excl. des machines entièrement automatiques et des machines à laver le linge avec essoreuse centrifuge incorporée)")</f>
        <v xml:space="preserve">   Machines à laver le linge d'une capacité unitaire exprimée en poids de linge sec &lt;= 6 kg (à l'excl. des machines entièrement automatiques et des machines à laver le linge avec essoreuse centrifuge incorporée)</v>
      </c>
      <c r="C10476">
        <v>120153</v>
      </c>
      <c r="D10476">
        <v>200</v>
      </c>
    </row>
    <row r="10477" spans="1:4" x14ac:dyDescent="0.25">
      <c r="A10477" t="str">
        <f>T("   845129")</f>
        <v xml:space="preserve">   845129</v>
      </c>
      <c r="B10477" t="str">
        <f>T("   Machines et appareils à sécher les fils, les tissus ou autres ouvrages en matières textiles ( à l'excl. des machines à sécher d'une capacité unitaire en poids de linge sec &lt;= 10 kg et sauf essoreuses centrifuges)")</f>
        <v xml:space="preserve">   Machines et appareils à sécher les fils, les tissus ou autres ouvrages en matières textiles ( à l'excl. des machines à sécher d'une capacité unitaire en poids de linge sec &lt;= 10 kg et sauf essoreuses centrifuges)</v>
      </c>
      <c r="C10477">
        <v>89526</v>
      </c>
      <c r="D10477">
        <v>100</v>
      </c>
    </row>
    <row r="10478" spans="1:4" x14ac:dyDescent="0.25">
      <c r="A10478" t="str">
        <f>T("   845229")</f>
        <v xml:space="preserve">   845229</v>
      </c>
      <c r="B10478" t="str">
        <f>T("   Machines à coudre de type industriel (sauf unités automatiques)")</f>
        <v xml:space="preserve">   Machines à coudre de type industriel (sauf unités automatiques)</v>
      </c>
      <c r="C10478">
        <v>90000</v>
      </c>
      <c r="D10478">
        <v>65</v>
      </c>
    </row>
    <row r="10479" spans="1:4" x14ac:dyDescent="0.25">
      <c r="A10479" t="str">
        <f>T("   846019")</f>
        <v xml:space="preserve">   846019</v>
      </c>
      <c r="B10479" t="str">
        <f>T("   Machines à rectifier les surfaces planes dont le positionnement dans un des axes peut être réglé à au moins 0,01 mm près, pour le travail des métaux (autres qu'à commande numérique)")</f>
        <v xml:space="preserve">   Machines à rectifier les surfaces planes dont le positionnement dans un des axes peut être réglé à au moins 0,01 mm près, pour le travail des métaux (autres qu'à commande numérique)</v>
      </c>
      <c r="C10479">
        <v>286482</v>
      </c>
      <c r="D10479">
        <v>840</v>
      </c>
    </row>
    <row r="10480" spans="1:4" x14ac:dyDescent="0.25">
      <c r="A10480" t="str">
        <f>T("   846150")</f>
        <v xml:space="preserve">   846150</v>
      </c>
      <c r="B10480" t="str">
        <f>T("   Machines à scier ou à tronçonner, pour le travail des métaux (autres que l'outillage à main)")</f>
        <v xml:space="preserve">   Machines à scier ou à tronçonner, pour le travail des métaux (autres que l'outillage à main)</v>
      </c>
      <c r="C10480">
        <v>45436424</v>
      </c>
      <c r="D10480">
        <v>200</v>
      </c>
    </row>
    <row r="10481" spans="1:4" x14ac:dyDescent="0.25">
      <c r="A10481" t="str">
        <f>T("   846490")</f>
        <v xml:space="preserve">   846490</v>
      </c>
      <c r="B10481" t="s">
        <v>431</v>
      </c>
      <c r="C10481">
        <v>300000</v>
      </c>
      <c r="D10481">
        <v>350</v>
      </c>
    </row>
    <row r="10482" spans="1:4" x14ac:dyDescent="0.25">
      <c r="A10482" t="str">
        <f>T("   846693")</f>
        <v xml:space="preserve">   846693</v>
      </c>
      <c r="B10482" t="str">
        <f>T("   Parties et accessoires pour machines-outils pour le travail du métal avec enlèvement de métal, n.d.a.")</f>
        <v xml:space="preserve">   Parties et accessoires pour machines-outils pour le travail du métal avec enlèvement de métal, n.d.a.</v>
      </c>
      <c r="C10482">
        <v>6100076</v>
      </c>
      <c r="D10482">
        <v>1700</v>
      </c>
    </row>
    <row r="10483" spans="1:4" x14ac:dyDescent="0.25">
      <c r="A10483" t="str">
        <f>T("   846880")</f>
        <v xml:space="preserve">   846880</v>
      </c>
      <c r="B10483" t="str">
        <f>T("   Machines et appareils pour le brasage ou le soudage (autres qu'aux gaz et à l'excl. des machines ou appareils pour le brasage ou le soudage électriques du n° 8515)")</f>
        <v xml:space="preserve">   Machines et appareils pour le brasage ou le soudage (autres qu'aux gaz et à l'excl. des machines ou appareils pour le brasage ou le soudage électriques du n° 8515)</v>
      </c>
      <c r="C10483">
        <v>2298268</v>
      </c>
      <c r="D10483">
        <v>215</v>
      </c>
    </row>
    <row r="10484" spans="1:4" x14ac:dyDescent="0.25">
      <c r="A10484" t="str">
        <f>T("   847010")</f>
        <v xml:space="preserve">   847010</v>
      </c>
      <c r="B10484" t="s">
        <v>435</v>
      </c>
      <c r="C10484">
        <v>1354452</v>
      </c>
      <c r="D10484">
        <v>3780</v>
      </c>
    </row>
    <row r="10485" spans="1:4" x14ac:dyDescent="0.25">
      <c r="A10485" t="str">
        <f>T("   847110")</f>
        <v xml:space="preserve">   847110</v>
      </c>
      <c r="B10485" t="str">
        <f>T("   Machines automatiques de traitement de l'information, analogiques ou hybrides")</f>
        <v xml:space="preserve">   Machines automatiques de traitement de l'information, analogiques ou hybrides</v>
      </c>
      <c r="C10485">
        <v>5510551</v>
      </c>
      <c r="D10485">
        <v>4164</v>
      </c>
    </row>
    <row r="10486" spans="1:4" x14ac:dyDescent="0.25">
      <c r="A10486" t="str">
        <f>T("   847190")</f>
        <v xml:space="preserve">   847190</v>
      </c>
      <c r="B10486"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10486">
        <v>9870840</v>
      </c>
      <c r="D10486">
        <v>60</v>
      </c>
    </row>
    <row r="10487" spans="1:4" x14ac:dyDescent="0.25">
      <c r="A10487" t="str">
        <f>T("   847330")</f>
        <v xml:space="preserve">   847330</v>
      </c>
      <c r="B10487" t="str">
        <f>T("   Parties et accessoires pour machines automatiques de traitement de l'information ou pour autres machines du n° 8471, n.d.a.")</f>
        <v xml:space="preserve">   Parties et accessoires pour machines automatiques de traitement de l'information ou pour autres machines du n° 8471, n.d.a.</v>
      </c>
      <c r="C10487">
        <v>1000000</v>
      </c>
      <c r="D10487">
        <v>2740</v>
      </c>
    </row>
    <row r="10488" spans="1:4" x14ac:dyDescent="0.25">
      <c r="A10488" t="str">
        <f>T("   847420")</f>
        <v xml:space="preserve">   847420</v>
      </c>
      <c r="B10488" t="str">
        <f>T("   Machines et appareils à concasser, broyer ou pulvériser les matières minérales solides")</f>
        <v xml:space="preserve">   Machines et appareils à concasser, broyer ou pulvériser les matières minérales solides</v>
      </c>
      <c r="C10488">
        <v>53767200</v>
      </c>
      <c r="D10488">
        <v>50000</v>
      </c>
    </row>
    <row r="10489" spans="1:4" x14ac:dyDescent="0.25">
      <c r="A10489" t="str">
        <f>T("   847431")</f>
        <v xml:space="preserve">   847431</v>
      </c>
      <c r="B10489" t="str">
        <f>T("   Bétonnières et appareils à gâcher le ciment (sauf montés sur wagons de chemins de fer ou sur châssis de véhicules automobiles)")</f>
        <v xml:space="preserve">   Bétonnières et appareils à gâcher le ciment (sauf montés sur wagons de chemins de fer ou sur châssis de véhicules automobiles)</v>
      </c>
      <c r="C10489">
        <v>13184490</v>
      </c>
      <c r="D10489">
        <v>8026</v>
      </c>
    </row>
    <row r="10490" spans="1:4" x14ac:dyDescent="0.25">
      <c r="A10490" t="str">
        <f>T("   847490")</f>
        <v xml:space="preserve">   847490</v>
      </c>
      <c r="B10490" t="str">
        <f>T("   Parties des machines et appareils pour le travail des matières minérales du n° 8474, n.d.a.")</f>
        <v xml:space="preserve">   Parties des machines et appareils pour le travail des matières minérales du n° 8474, n.d.a.</v>
      </c>
      <c r="C10490">
        <v>1350000</v>
      </c>
      <c r="D10490">
        <v>10740</v>
      </c>
    </row>
    <row r="10491" spans="1:4" x14ac:dyDescent="0.25">
      <c r="A10491" t="str">
        <f>T("   847510")</f>
        <v xml:space="preserve">   847510</v>
      </c>
      <c r="B10491" t="str">
        <f>T("   Machines pour l'assemblage des lampes, tubes ou valves électriques ou électroniques ou des lampes pour la production de la lumière-éclair, qui comportent une enveloppe en verre")</f>
        <v xml:space="preserve">   Machines pour l'assemblage des lampes, tubes ou valves électriques ou électroniques ou des lampes pour la production de la lumière-éclair, qui comportent une enveloppe en verre</v>
      </c>
      <c r="C10491">
        <v>1342883</v>
      </c>
      <c r="D10491">
        <v>1260</v>
      </c>
    </row>
    <row r="10492" spans="1:4" x14ac:dyDescent="0.25">
      <c r="A10492" t="str">
        <f>T("   848049")</f>
        <v xml:space="preserve">   848049</v>
      </c>
      <c r="B10492" t="s">
        <v>445</v>
      </c>
      <c r="C10492">
        <v>1031032</v>
      </c>
      <c r="D10492">
        <v>510</v>
      </c>
    </row>
    <row r="10493" spans="1:4" x14ac:dyDescent="0.25">
      <c r="A10493" t="str">
        <f>T("   848060")</f>
        <v xml:space="preserve">   848060</v>
      </c>
      <c r="B10493" t="str">
        <f>T("   Moules pour les matières minérales (autres qu'en graphite ou autres formes de carbone, autres qu'en produits céramiques ou en verre)")</f>
        <v xml:space="preserve">   Moules pour les matières minérales (autres qu'en graphite ou autres formes de carbone, autres qu'en produits céramiques ou en verre)</v>
      </c>
      <c r="C10493">
        <v>2417800</v>
      </c>
      <c r="D10493">
        <v>4200</v>
      </c>
    </row>
    <row r="10494" spans="1:4" x14ac:dyDescent="0.25">
      <c r="A10494" t="str">
        <f>T("   848180")</f>
        <v xml:space="preserve">   848180</v>
      </c>
      <c r="B10494"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10494">
        <v>515556</v>
      </c>
      <c r="D10494">
        <v>1075</v>
      </c>
    </row>
    <row r="10495" spans="1:4" x14ac:dyDescent="0.25">
      <c r="A10495" t="str">
        <f>T("   850131")</f>
        <v xml:space="preserve">   850131</v>
      </c>
      <c r="B10495" t="str">
        <f>T("   Moteurs à courant continu, puissance &lt;= 750 W mais &gt; 37,5 W et génératrices à courant continu, puissance &lt;= 750 W")</f>
        <v xml:space="preserve">   Moteurs à courant continu, puissance &lt;= 750 W mais &gt; 37,5 W et génératrices à courant continu, puissance &lt;= 750 W</v>
      </c>
      <c r="C10495">
        <v>1657822</v>
      </c>
      <c r="D10495">
        <v>1700</v>
      </c>
    </row>
    <row r="10496" spans="1:4" x14ac:dyDescent="0.25">
      <c r="A10496" t="str">
        <f>T("   850133")</f>
        <v xml:space="preserve">   850133</v>
      </c>
      <c r="B10496" t="str">
        <f>T("   Moteurs et génératrices à courant continu, puissance &gt; 75 kW mais &lt;= 375 kW")</f>
        <v xml:space="preserve">   Moteurs et génératrices à courant continu, puissance &gt; 75 kW mais &lt;= 375 kW</v>
      </c>
      <c r="C10496">
        <v>4032720</v>
      </c>
      <c r="D10496">
        <v>600</v>
      </c>
    </row>
    <row r="10497" spans="1:4" x14ac:dyDescent="0.25">
      <c r="A10497" t="str">
        <f>T("   850153")</f>
        <v xml:space="preserve">   850153</v>
      </c>
      <c r="B10497" t="str">
        <f>T("   Moteurs à courant alternatif, polyphasés, puissance &gt; 75 kW")</f>
        <v xml:space="preserve">   Moteurs à courant alternatif, polyphasés, puissance &gt; 75 kW</v>
      </c>
      <c r="C10497">
        <v>331242</v>
      </c>
      <c r="D10497">
        <v>3300</v>
      </c>
    </row>
    <row r="10498" spans="1:4" x14ac:dyDescent="0.25">
      <c r="A10498" t="str">
        <f>T("   850161")</f>
        <v xml:space="preserve">   850161</v>
      </c>
      <c r="B10498" t="str">
        <f>T("   Alternateurs, puissance &lt;= 75 kVA")</f>
        <v xml:space="preserve">   Alternateurs, puissance &lt;= 75 kVA</v>
      </c>
      <c r="C10498">
        <v>2261356</v>
      </c>
      <c r="D10498">
        <v>1280</v>
      </c>
    </row>
    <row r="10499" spans="1:4" x14ac:dyDescent="0.25">
      <c r="A10499" t="str">
        <f>T("   850211")</f>
        <v xml:space="preserve">   850211</v>
      </c>
      <c r="B10499" t="s">
        <v>449</v>
      </c>
      <c r="C10499">
        <v>19607442</v>
      </c>
      <c r="D10499">
        <v>37039</v>
      </c>
    </row>
    <row r="10500" spans="1:4" x14ac:dyDescent="0.25">
      <c r="A10500" t="str">
        <f>T("   850220")</f>
        <v xml:space="preserve">   850220</v>
      </c>
      <c r="B10500" t="s">
        <v>451</v>
      </c>
      <c r="C10500">
        <v>716204</v>
      </c>
      <c r="D10500">
        <v>1880</v>
      </c>
    </row>
    <row r="10501" spans="1:4" x14ac:dyDescent="0.25">
      <c r="A10501" t="str">
        <f>T("   850239")</f>
        <v xml:space="preserve">   850239</v>
      </c>
      <c r="B10501" t="str">
        <f>T("   Groupes électrogènes (autres qu'à énergie éolienne et à moteurs à piston)")</f>
        <v xml:space="preserve">   Groupes électrogènes (autres qu'à énergie éolienne et à moteurs à piston)</v>
      </c>
      <c r="C10501">
        <v>1358102</v>
      </c>
      <c r="D10501">
        <v>1190</v>
      </c>
    </row>
    <row r="10502" spans="1:4" x14ac:dyDescent="0.25">
      <c r="A10502" t="str">
        <f>T("   850440")</f>
        <v xml:space="preserve">   850440</v>
      </c>
      <c r="B10502" t="str">
        <f>T("   CONVERTISSEURS STATIQUES")</f>
        <v xml:space="preserve">   CONVERTISSEURS STATIQUES</v>
      </c>
      <c r="C10502">
        <v>2600000</v>
      </c>
      <c r="D10502">
        <v>1780</v>
      </c>
    </row>
    <row r="10503" spans="1:4" x14ac:dyDescent="0.25">
      <c r="A10503" t="str">
        <f>T("   850610")</f>
        <v xml:space="preserve">   850610</v>
      </c>
      <c r="B10503" t="str">
        <f>T("   Piles et batteries de piles électriques, au bioxyde de manganèse (sauf hors d'usage)")</f>
        <v xml:space="preserve">   Piles et batteries de piles électriques, au bioxyde de manganèse (sauf hors d'usage)</v>
      </c>
      <c r="C10503">
        <v>5500000</v>
      </c>
      <c r="D10503">
        <v>46700</v>
      </c>
    </row>
    <row r="10504" spans="1:4" x14ac:dyDescent="0.25">
      <c r="A10504" t="str">
        <f>T("   850680")</f>
        <v xml:space="preserve">   850680</v>
      </c>
      <c r="B10504" t="str">
        <f>T("   Piles et batteries de piles électriques (sauf hors d'usage et autres que piles et batteries à l'oxyde d'argent, de mercure, au bioxyde de manganèse, au lithium et à l'air-zinc)")</f>
        <v xml:space="preserve">   Piles et batteries de piles électriques (sauf hors d'usage et autres que piles et batteries à l'oxyde d'argent, de mercure, au bioxyde de manganèse, au lithium et à l'air-zinc)</v>
      </c>
      <c r="C10504">
        <v>22000000</v>
      </c>
      <c r="D10504">
        <v>184680</v>
      </c>
    </row>
    <row r="10505" spans="1:4" x14ac:dyDescent="0.25">
      <c r="A10505" t="str">
        <f>T("   850710")</f>
        <v xml:space="preserve">   850710</v>
      </c>
      <c r="B10505" t="str">
        <f>T("   Accumulateurs au plomb, pour le démarrage des moteurs à piston (sauf hors d'usage)")</f>
        <v xml:space="preserve">   Accumulateurs au plomb, pour le démarrage des moteurs à piston (sauf hors d'usage)</v>
      </c>
      <c r="C10505">
        <v>888894</v>
      </c>
      <c r="D10505">
        <v>7080</v>
      </c>
    </row>
    <row r="10506" spans="1:4" x14ac:dyDescent="0.25">
      <c r="A10506" t="str">
        <f>T("   850780")</f>
        <v xml:space="preserve">   850780</v>
      </c>
      <c r="B10506" t="str">
        <f>T("   Accumulateurs électriques (sauf hors d'usage et autres qu'au plomb, au nickel-cadmium ou au nickel-fer)")</f>
        <v xml:space="preserve">   Accumulateurs électriques (sauf hors d'usage et autres qu'au plomb, au nickel-cadmium ou au nickel-fer)</v>
      </c>
      <c r="C10506">
        <v>162500</v>
      </c>
      <c r="D10506">
        <v>150</v>
      </c>
    </row>
    <row r="10507" spans="1:4" x14ac:dyDescent="0.25">
      <c r="A10507" t="str">
        <f>T("   850980")</f>
        <v xml:space="preserve">   850980</v>
      </c>
      <c r="B10507" t="s">
        <v>452</v>
      </c>
      <c r="C10507">
        <v>109230</v>
      </c>
      <c r="D10507">
        <v>50</v>
      </c>
    </row>
    <row r="10508" spans="1:4" x14ac:dyDescent="0.25">
      <c r="A10508" t="str">
        <f>T("   851180")</f>
        <v xml:space="preserve">   851180</v>
      </c>
      <c r="B10508" t="s">
        <v>453</v>
      </c>
      <c r="C10508">
        <v>250000</v>
      </c>
      <c r="D10508">
        <v>380</v>
      </c>
    </row>
    <row r="10509" spans="1:4" x14ac:dyDescent="0.25">
      <c r="A10509" t="str">
        <f>T("   851310")</f>
        <v xml:space="preserve">   851310</v>
      </c>
      <c r="B10509" t="str">
        <f>T("   Lampes électriques portatives, destinées à fonctionner au moyen de leur propre source d'énergie")</f>
        <v xml:space="preserve">   Lampes électriques portatives, destinées à fonctionner au moyen de leur propre source d'énergie</v>
      </c>
      <c r="C10509">
        <v>402127</v>
      </c>
      <c r="D10509">
        <v>6150</v>
      </c>
    </row>
    <row r="10510" spans="1:4" x14ac:dyDescent="0.25">
      <c r="A10510" t="str">
        <f>T("   851650")</f>
        <v xml:space="preserve">   851650</v>
      </c>
      <c r="B10510" t="str">
        <f>T("   Fours à micro-ondes")</f>
        <v xml:space="preserve">   Fours à micro-ondes</v>
      </c>
      <c r="C10510">
        <v>91178</v>
      </c>
      <c r="D10510">
        <v>5</v>
      </c>
    </row>
    <row r="10511" spans="1:4" x14ac:dyDescent="0.25">
      <c r="A10511" t="str">
        <f>T("   851660")</f>
        <v xml:space="preserve">   851660</v>
      </c>
      <c r="B10511" t="str">
        <f>T("   Fours, cuisinières, réchauds, tables de cuisson, grils et rôtissoires électriques, pour usages domestiques (sauf fours destinés au chauffage des locaux et fours à micro-ondes)")</f>
        <v xml:space="preserve">   Fours, cuisinières, réchauds, tables de cuisson, grils et rôtissoires électriques, pour usages domestiques (sauf fours destinés au chauffage des locaux et fours à micro-ondes)</v>
      </c>
      <c r="C10511">
        <v>62786</v>
      </c>
      <c r="D10511">
        <v>1000</v>
      </c>
    </row>
    <row r="10512" spans="1:4" x14ac:dyDescent="0.25">
      <c r="A10512" t="str">
        <f>T("   851679")</f>
        <v xml:space="preserve">   851679</v>
      </c>
      <c r="B10512" t="s">
        <v>456</v>
      </c>
      <c r="C10512">
        <v>32769</v>
      </c>
      <c r="D10512">
        <v>80</v>
      </c>
    </row>
    <row r="10513" spans="1:4" x14ac:dyDescent="0.25">
      <c r="A10513" t="str">
        <f>T("   851750")</f>
        <v xml:space="preserve">   851750</v>
      </c>
      <c r="B10513" t="s">
        <v>457</v>
      </c>
      <c r="C10513">
        <v>29000</v>
      </c>
      <c r="D10513">
        <v>95</v>
      </c>
    </row>
    <row r="10514" spans="1:4" x14ac:dyDescent="0.25">
      <c r="A10514" t="str">
        <f>T("   851790")</f>
        <v xml:space="preserve">   851790</v>
      </c>
      <c r="B10514" t="s">
        <v>459</v>
      </c>
      <c r="C10514">
        <v>643880</v>
      </c>
      <c r="D10514">
        <v>25</v>
      </c>
    </row>
    <row r="10515" spans="1:4" x14ac:dyDescent="0.25">
      <c r="A10515" t="str">
        <f>T("   851822")</f>
        <v xml:space="preserve">   851822</v>
      </c>
      <c r="B10515" t="str">
        <f>T("   Haut-parleurs multiples montés dans la même enceinte")</f>
        <v xml:space="preserve">   Haut-parleurs multiples montés dans la même enceinte</v>
      </c>
      <c r="C10515">
        <v>20000</v>
      </c>
      <c r="D10515">
        <v>5</v>
      </c>
    </row>
    <row r="10516" spans="1:4" x14ac:dyDescent="0.25">
      <c r="A10516" t="str">
        <f>T("   851829")</f>
        <v xml:space="preserve">   851829</v>
      </c>
      <c r="B10516" t="str">
        <f>T("   Haut-parleurs sans enceinte")</f>
        <v xml:space="preserve">   Haut-parleurs sans enceinte</v>
      </c>
      <c r="C10516">
        <v>92035</v>
      </c>
      <c r="D10516">
        <v>1300</v>
      </c>
    </row>
    <row r="10517" spans="1:4" x14ac:dyDescent="0.25">
      <c r="A10517" t="str">
        <f>T("   851840")</f>
        <v xml:space="preserve">   851840</v>
      </c>
      <c r="B10517" t="str">
        <f>T("   Amplificateurs électriques d'audiofréquence")</f>
        <v xml:space="preserve">   Amplificateurs électriques d'audiofréquence</v>
      </c>
      <c r="C10517">
        <v>436920</v>
      </c>
      <c r="D10517">
        <v>300</v>
      </c>
    </row>
    <row r="10518" spans="1:4" x14ac:dyDescent="0.25">
      <c r="A10518" t="str">
        <f>T("   851992")</f>
        <v xml:space="preserve">   851992</v>
      </c>
      <c r="B10518" t="str">
        <f>T("   Lecteurs de cassettes de poche [dimensions &lt;= 170 mm x 100 mm x 45 mm], avec amplificateur incorporé, sans haut-parleur incorporé, pouvant fonctionner sans source d'énergie électrique extérieure")</f>
        <v xml:space="preserve">   Lecteurs de cassettes de poche [dimensions &lt;= 170 mm x 100 mm x 45 mm], avec amplificateur incorporé, sans haut-parleur incorporé, pouvant fonctionner sans source d'énergie électrique extérieure</v>
      </c>
      <c r="C10518">
        <v>723614</v>
      </c>
      <c r="D10518">
        <v>1200</v>
      </c>
    </row>
    <row r="10519" spans="1:4" x14ac:dyDescent="0.25">
      <c r="A10519" t="str">
        <f>T("   851999")</f>
        <v xml:space="preserve">   851999</v>
      </c>
      <c r="B10519" t="str">
        <f>T("   Appareils de reproduction du son, n'incorporant pas de dispositif d'enregistrement du son (autres que tourne-disques, électrophones commandés par l'introduction d'une pièce de monnaie ou d'un jeton, machines à dicter et lecteurs de cassettes)")</f>
        <v xml:space="preserve">   Appareils de reproduction du son, n'incorporant pas de dispositif d'enregistrement du son (autres que tourne-disques, électrophones commandés par l'introduction d'une pièce de monnaie ou d'un jeton, machines à dicter et lecteurs de cassettes)</v>
      </c>
      <c r="C10519">
        <v>1788450</v>
      </c>
      <c r="D10519">
        <v>3280</v>
      </c>
    </row>
    <row r="10520" spans="1:4" x14ac:dyDescent="0.25">
      <c r="A10520" t="str">
        <f>T("   852033")</f>
        <v xml:space="preserve">   852033</v>
      </c>
      <c r="B10520" t="str">
        <f>T("   Appareils d'enregistrement et de reproduction du son, à cassettes (autres que numériques)")</f>
        <v xml:space="preserve">   Appareils d'enregistrement et de reproduction du son, à cassettes (autres que numériques)</v>
      </c>
      <c r="C10520">
        <v>229383</v>
      </c>
      <c r="D10520">
        <v>11223</v>
      </c>
    </row>
    <row r="10521" spans="1:4" x14ac:dyDescent="0.25">
      <c r="A10521" t="str">
        <f>T("   852090")</f>
        <v xml:space="preserve">   852090</v>
      </c>
      <c r="B10521" t="str">
        <f>T("   Appareils d'enregistrement du son, incorporant également un dispositif de reproduction du son (autres qu'appareils d'enregistrement et de reproduction du son utilisant des bandes magnétiques sur bobines)")</f>
        <v xml:space="preserve">   Appareils d'enregistrement du son, incorporant également un dispositif de reproduction du son (autres qu'appareils d'enregistrement et de reproduction du son utilisant des bandes magnétiques sur bobines)</v>
      </c>
      <c r="C10521">
        <v>5007172</v>
      </c>
      <c r="D10521">
        <v>13165</v>
      </c>
    </row>
    <row r="10522" spans="1:4" x14ac:dyDescent="0.25">
      <c r="A10522" t="str">
        <f>T("   852110")</f>
        <v xml:space="preserve">   852110</v>
      </c>
      <c r="B10522" t="s">
        <v>461</v>
      </c>
      <c r="C10522">
        <v>993840</v>
      </c>
      <c r="D10522">
        <v>2284</v>
      </c>
    </row>
    <row r="10523" spans="1:4" x14ac:dyDescent="0.25">
      <c r="A10523" t="str">
        <f>T("   852190")</f>
        <v xml:space="preserve">   852190</v>
      </c>
      <c r="B10523" t="s">
        <v>462</v>
      </c>
      <c r="C10523">
        <v>591458</v>
      </c>
      <c r="D10523">
        <v>1215</v>
      </c>
    </row>
    <row r="10524" spans="1:4" x14ac:dyDescent="0.25">
      <c r="A10524" t="str">
        <f>T("   852210")</f>
        <v xml:space="preserve">   852210</v>
      </c>
      <c r="B10524" t="str">
        <f>T("   Lecteurs phonographiques")</f>
        <v xml:space="preserve">   Lecteurs phonographiques</v>
      </c>
      <c r="C10524">
        <v>218460</v>
      </c>
      <c r="D10524">
        <v>300</v>
      </c>
    </row>
    <row r="10525" spans="1:4" x14ac:dyDescent="0.25">
      <c r="A10525" t="str">
        <f>T("   852530")</f>
        <v xml:space="preserve">   852530</v>
      </c>
      <c r="B10525" t="str">
        <f>T("   Caméras de télévision (à l'excl. de caméscopes)")</f>
        <v xml:space="preserve">   Caméras de télévision (à l'excl. de caméscopes)</v>
      </c>
      <c r="C10525">
        <v>675830</v>
      </c>
      <c r="D10525">
        <v>30</v>
      </c>
    </row>
    <row r="10526" spans="1:4" x14ac:dyDescent="0.25">
      <c r="A10526" t="str">
        <f>T("   852540")</f>
        <v xml:space="preserve">   852540</v>
      </c>
      <c r="B10526" t="str">
        <f>T("   Appareils de prise de vues fixes vidéo et autres caméscopes; appareils photographiques numériques")</f>
        <v xml:space="preserve">   Appareils de prise de vues fixes vidéo et autres caméscopes; appareils photographiques numériques</v>
      </c>
      <c r="C10526">
        <v>424700</v>
      </c>
      <c r="D10526">
        <v>5</v>
      </c>
    </row>
    <row r="10527" spans="1:4" x14ac:dyDescent="0.25">
      <c r="A10527" t="str">
        <f>T("   852610")</f>
        <v xml:space="preserve">   852610</v>
      </c>
      <c r="B10527" t="str">
        <f>T("   Appareils de radiodétection et de radiosondage [radar]")</f>
        <v xml:space="preserve">   Appareils de radiodétection et de radiosondage [radar]</v>
      </c>
      <c r="C10527">
        <v>136400</v>
      </c>
      <c r="D10527">
        <v>40</v>
      </c>
    </row>
    <row r="10528" spans="1:4" x14ac:dyDescent="0.25">
      <c r="A10528" t="str">
        <f>T("   852713")</f>
        <v xml:space="preserve">   852713</v>
      </c>
      <c r="B10528" t="str">
        <f>T("   RÉCEPTEURS DE RADIODIFFUSION POUVANT FONCTIONNER SANS SOURCE D'ÉNERGIE EXTÉRIEURE, COMBINÉS À UN APPAREIL D'ENREGISTREMENT OU DE REPRODUCTION DU SON (À L'EXCL. DES RADIOCASSETTES DE POCHE)")</f>
        <v xml:space="preserve">   RÉCEPTEURS DE RADIODIFFUSION POUVANT FONCTIONNER SANS SOURCE D'ÉNERGIE EXTÉRIEURE, COMBINÉS À UN APPAREIL D'ENREGISTREMENT OU DE REPRODUCTION DU SON (À L'EXCL. DES RADIOCASSETTES DE POCHE)</v>
      </c>
      <c r="C10528">
        <v>622541</v>
      </c>
      <c r="D10528">
        <v>2155</v>
      </c>
    </row>
    <row r="10529" spans="1:4" x14ac:dyDescent="0.25">
      <c r="A10529" t="str">
        <f>T("   852719")</f>
        <v xml:space="preserve">   852719</v>
      </c>
      <c r="B10529" t="str">
        <f>T("   Récepteurs de radiodiffusion pouvant fonctionner sans source d'énergie extérieure, y.c. les appareils recevant également la radiotéléphonie ou la radiotélégraphie, non combinés à un appareil d'enregistrement et de reproduction du son")</f>
        <v xml:space="preserve">   Récepteurs de radiodiffusion pouvant fonctionner sans source d'énergie extérieure, y.c. les appareils recevant également la radiotéléphonie ou la radiotélégraphie, non combinés à un appareil d'enregistrement et de reproduction du son</v>
      </c>
      <c r="C10529">
        <v>1818411</v>
      </c>
      <c r="D10529">
        <v>3205</v>
      </c>
    </row>
    <row r="10530" spans="1:4" x14ac:dyDescent="0.25">
      <c r="A10530" t="str">
        <f>T("   852812")</f>
        <v xml:space="preserve">   852812</v>
      </c>
      <c r="B10530"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10530">
        <v>2115711</v>
      </c>
      <c r="D10530">
        <v>3858</v>
      </c>
    </row>
    <row r="10531" spans="1:4" x14ac:dyDescent="0.25">
      <c r="A10531" t="str">
        <f>T("   852821")</f>
        <v xml:space="preserve">   852821</v>
      </c>
      <c r="B10531" t="str">
        <f>T("   Moniteurs vidéo en couleurs")</f>
        <v xml:space="preserve">   Moniteurs vidéo en couleurs</v>
      </c>
      <c r="C10531">
        <v>37952</v>
      </c>
      <c r="D10531">
        <v>388.07</v>
      </c>
    </row>
    <row r="10532" spans="1:4" x14ac:dyDescent="0.25">
      <c r="A10532" t="str">
        <f>T("   852910")</f>
        <v xml:space="preserve">   852910</v>
      </c>
      <c r="B10532"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10532">
        <v>373075</v>
      </c>
      <c r="D10532">
        <v>715</v>
      </c>
    </row>
    <row r="10533" spans="1:4" x14ac:dyDescent="0.25">
      <c r="A10533" t="str">
        <f>T("   852990")</f>
        <v xml:space="preserve">   852990</v>
      </c>
      <c r="B10533" t="s">
        <v>471</v>
      </c>
      <c r="C10533">
        <v>1200000</v>
      </c>
      <c r="D10533">
        <v>2100</v>
      </c>
    </row>
    <row r="10534" spans="1:4" x14ac:dyDescent="0.25">
      <c r="A10534" t="str">
        <f>T("   853090")</f>
        <v xml:space="preserve">   853090</v>
      </c>
      <c r="B10534" t="str">
        <f>T("   Parties d'appareils électriques de signalisation (autres que pour la transmission de messages), de sécurité, de contrôle ou de commande, n.d.a.")</f>
        <v xml:space="preserve">   Parties d'appareils électriques de signalisation (autres que pour la transmission de messages), de sécurité, de contrôle ou de commande, n.d.a.</v>
      </c>
      <c r="C10534">
        <v>2148612</v>
      </c>
      <c r="D10534">
        <v>380</v>
      </c>
    </row>
    <row r="10535" spans="1:4" x14ac:dyDescent="0.25">
      <c r="A10535" t="str">
        <f>T("   853110")</f>
        <v xml:space="preserve">   853110</v>
      </c>
      <c r="B10535" t="str">
        <f>T("   Avertisseurs électriques pour la protection contre le vol ou l'incendie et appareils simil.")</f>
        <v xml:space="preserve">   Avertisseurs électriques pour la protection contre le vol ou l'incendie et appareils simil.</v>
      </c>
      <c r="C10535">
        <v>393410</v>
      </c>
      <c r="D10535">
        <v>220</v>
      </c>
    </row>
    <row r="10536" spans="1:4" x14ac:dyDescent="0.25">
      <c r="A10536" t="str">
        <f>T("   853120")</f>
        <v xml:space="preserve">   853120</v>
      </c>
      <c r="B10536" t="str">
        <f>T("   Panneaux indicateurs avec dispositifs à cristaux liquides [LCD] ou à diodes émettrices de lumière [LED] (autres que pour les véhicules automobiles, les bicyclettes ou les voies de communication)")</f>
        <v xml:space="preserve">   Panneaux indicateurs avec dispositifs à cristaux liquides [LCD] ou à diodes émettrices de lumière [LED] (autres que pour les véhicules automobiles, les bicyclettes ou les voies de communication)</v>
      </c>
      <c r="C10536">
        <v>838376</v>
      </c>
      <c r="D10536">
        <v>150</v>
      </c>
    </row>
    <row r="10537" spans="1:4" x14ac:dyDescent="0.25">
      <c r="A10537" t="str">
        <f>T("   853210")</f>
        <v xml:space="preserve">   853210</v>
      </c>
      <c r="B10537" t="str">
        <f>T("   Condensateurs électriques fixes conçus pour les réseaux électriques de 50/60 Hz et capables d'absorber une puissance réactive &gt;= 0,5 kvar [condensateurs de puissance]")</f>
        <v xml:space="preserve">   Condensateurs électriques fixes conçus pour les réseaux électriques de 50/60 Hz et capables d'absorber une puissance réactive &gt;= 0,5 kvar [condensateurs de puissance]</v>
      </c>
      <c r="C10537">
        <v>6500000</v>
      </c>
      <c r="D10537">
        <v>1870</v>
      </c>
    </row>
    <row r="10538" spans="1:4" x14ac:dyDescent="0.25">
      <c r="A10538" t="str">
        <f>T("   853230")</f>
        <v xml:space="preserve">   853230</v>
      </c>
      <c r="B10538" t="str">
        <f>T("   Condensateurs électriques variables ou ajustables")</f>
        <v xml:space="preserve">   Condensateurs électriques variables ou ajustables</v>
      </c>
      <c r="C10538">
        <v>600000</v>
      </c>
      <c r="D10538">
        <v>300</v>
      </c>
    </row>
    <row r="10539" spans="1:4" x14ac:dyDescent="0.25">
      <c r="A10539" t="str">
        <f>T("   853590")</f>
        <v xml:space="preserve">   853590</v>
      </c>
      <c r="B10539" t="s">
        <v>473</v>
      </c>
      <c r="C10539">
        <v>3000000</v>
      </c>
      <c r="D10539">
        <v>15300</v>
      </c>
    </row>
    <row r="10540" spans="1:4" x14ac:dyDescent="0.25">
      <c r="A10540" t="str">
        <f>T("   853641")</f>
        <v xml:space="preserve">   853641</v>
      </c>
      <c r="B10540" t="str">
        <f>T("   Relais pour une tension &lt;= 60 V")</f>
        <v xml:space="preserve">   Relais pour une tension &lt;= 60 V</v>
      </c>
      <c r="C10540">
        <v>95800</v>
      </c>
      <c r="D10540">
        <v>200</v>
      </c>
    </row>
    <row r="10541" spans="1:4" x14ac:dyDescent="0.25">
      <c r="A10541" t="str">
        <f>T("   853669")</f>
        <v xml:space="preserve">   853669</v>
      </c>
      <c r="B10541" t="str">
        <f>T("   Fiches et prises de courant, pour une tension &lt;= 1.000 V (sauf douilles pour lampes)")</f>
        <v xml:space="preserve">   Fiches et prises de courant, pour une tension &lt;= 1.000 V (sauf douilles pour lampes)</v>
      </c>
      <c r="C10541">
        <v>21846</v>
      </c>
      <c r="D10541">
        <v>50</v>
      </c>
    </row>
    <row r="10542" spans="1:4" x14ac:dyDescent="0.25">
      <c r="A10542" t="str">
        <f>T("   853710")</f>
        <v xml:space="preserve">   853710</v>
      </c>
      <c r="B10542"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10542">
        <v>753000</v>
      </c>
      <c r="D10542">
        <v>2740</v>
      </c>
    </row>
    <row r="10543" spans="1:4" x14ac:dyDescent="0.25">
      <c r="A10543" t="str">
        <f>T("   853890")</f>
        <v xml:space="preserve">   853890</v>
      </c>
      <c r="B10543" t="s">
        <v>475</v>
      </c>
      <c r="C10543">
        <v>6265023</v>
      </c>
      <c r="D10543">
        <v>22000</v>
      </c>
    </row>
    <row r="10544" spans="1:4" x14ac:dyDescent="0.25">
      <c r="A10544" t="str">
        <f>T("   853929")</f>
        <v xml:space="preserve">   853929</v>
      </c>
      <c r="B10544" t="str">
        <f>T("   Lampes et tubes à incandescence électriques (autres que lampes et tubes halogènes, au tungstène, lampes d'une puissance &lt;= 200 W et pour une tension &gt; 100 V, et lampes à rayons ultraviolets ou infrarouges)")</f>
        <v xml:space="preserve">   Lampes et tubes à incandescence électriques (autres que lampes et tubes halogènes, au tungstène, lampes d'une puissance &lt;= 200 W et pour une tension &gt; 100 V, et lampes à rayons ultraviolets ou infrarouges)</v>
      </c>
      <c r="C10544">
        <v>4447488</v>
      </c>
      <c r="D10544">
        <v>16980</v>
      </c>
    </row>
    <row r="10545" spans="1:4" x14ac:dyDescent="0.25">
      <c r="A10545" t="str">
        <f>T("   853931")</f>
        <v xml:space="preserve">   853931</v>
      </c>
      <c r="B10545" t="str">
        <f>T("   Lampes et tubes à décharge, fluorescents, à cathode chaude")</f>
        <v xml:space="preserve">   Lampes et tubes à décharge, fluorescents, à cathode chaude</v>
      </c>
      <c r="C10545">
        <v>500000</v>
      </c>
      <c r="D10545">
        <v>2500</v>
      </c>
    </row>
    <row r="10546" spans="1:4" x14ac:dyDescent="0.25">
      <c r="A10546" t="str">
        <f>T("   853939")</f>
        <v xml:space="preserve">   853939</v>
      </c>
      <c r="B10546" t="str">
        <f>T("   Lampes et tubes à décharge (autres que fluorescents, à cathode chaude, à vapeur de mercure ou de sodium, à halogénure métallique et qu'à rayons ultraviolets)")</f>
        <v xml:space="preserve">   Lampes et tubes à décharge (autres que fluorescents, à cathode chaude, à vapeur de mercure ou de sodium, à halogénure métallique et qu'à rayons ultraviolets)</v>
      </c>
      <c r="C10546">
        <v>800000</v>
      </c>
      <c r="D10546">
        <v>1000</v>
      </c>
    </row>
    <row r="10547" spans="1:4" x14ac:dyDescent="0.25">
      <c r="A10547" t="str">
        <f>T("   854389")</f>
        <v xml:space="preserve">   854389</v>
      </c>
      <c r="B10547" t="str">
        <f>T("   MACHINES ET APPAREILS ÉLECTRIQUES AYANT UNE FONCTION PROPRE, N.D.A. DANS LE CHAPITRE 85")</f>
        <v xml:space="preserve">   MACHINES ET APPAREILS ÉLECTRIQUES AYANT UNE FONCTION PROPRE, N.D.A. DANS LE CHAPITRE 85</v>
      </c>
      <c r="C10547">
        <v>590406</v>
      </c>
      <c r="D10547">
        <v>600</v>
      </c>
    </row>
    <row r="10548" spans="1:4" x14ac:dyDescent="0.25">
      <c r="A10548" t="str">
        <f>T("   854420")</f>
        <v xml:space="preserve">   854420</v>
      </c>
      <c r="B10548" t="str">
        <f>T("   Câbles coaxiaux et autres conducteurs électriques coaxiaux, isolés")</f>
        <v xml:space="preserve">   Câbles coaxiaux et autres conducteurs électriques coaxiaux, isolés</v>
      </c>
      <c r="C10548">
        <v>500000</v>
      </c>
      <c r="D10548">
        <v>3860</v>
      </c>
    </row>
    <row r="10549" spans="1:4" x14ac:dyDescent="0.25">
      <c r="A10549" t="str">
        <f>T("   854449")</f>
        <v xml:space="preserve">   854449</v>
      </c>
      <c r="B10549" t="str">
        <f>T("   CONDUCTEURS ÉLECTRIQUES, POUR TENSION &lt;= 1.000 V, ISOLÉS, SANS PIÈCES DE CONNEXION, N.D.A.")</f>
        <v xml:space="preserve">   CONDUCTEURS ÉLECTRIQUES, POUR TENSION &lt;= 1.000 V, ISOLÉS, SANS PIÈCES DE CONNEXION, N.D.A.</v>
      </c>
      <c r="C10549">
        <v>405374</v>
      </c>
      <c r="D10549">
        <v>1330</v>
      </c>
    </row>
    <row r="10550" spans="1:4" x14ac:dyDescent="0.25">
      <c r="A10550" t="str">
        <f>T("   854451")</f>
        <v xml:space="preserve">   854451</v>
      </c>
      <c r="B10550" t="str">
        <f>T("   Conducteurs électriques, pour tension &gt; 80 V mais &lt;= 1.000 V, avec pièces de connexion, n.d.a.")</f>
        <v xml:space="preserve">   Conducteurs électriques, pour tension &gt; 80 V mais &lt;= 1.000 V, avec pièces de connexion, n.d.a.</v>
      </c>
      <c r="C10550">
        <v>500000</v>
      </c>
      <c r="D10550">
        <v>600</v>
      </c>
    </row>
    <row r="10551" spans="1:4" x14ac:dyDescent="0.25">
      <c r="A10551" t="str">
        <f>T("   854459")</f>
        <v xml:space="preserve">   854459</v>
      </c>
      <c r="B10551" t="str">
        <f>T("   Conducteurs électriques, pour tension &gt; 80 V mais &lt;= 1.000 V, sans pièces de connexion, n.d.a.")</f>
        <v xml:space="preserve">   Conducteurs électriques, pour tension &gt; 80 V mais &lt;= 1.000 V, sans pièces de connexion, n.d.a.</v>
      </c>
      <c r="C10551">
        <v>135130</v>
      </c>
      <c r="D10551">
        <v>30</v>
      </c>
    </row>
    <row r="10552" spans="1:4" x14ac:dyDescent="0.25">
      <c r="A10552" t="str">
        <f>T("   860900")</f>
        <v xml:space="preserve">   860900</v>
      </c>
      <c r="B10552" t="str">
        <f>T("   CADRES ET CONTENEURS -Y.C. LES CONTENEURS-CITERNES ET LES CONTENEURS-RÉSERVOIRS- SPÉCIALEMENT CONÇUS ET ÉQUIPÉS POUR UN OU PLUSIEURS MODES DE TRANSPORT")</f>
        <v xml:space="preserve">   CADRES ET CONTENEURS -Y.C. LES CONTENEURS-CITERNES ET LES CONTENEURS-RÉSERVOIRS- SPÉCIALEMENT CONÇUS ET ÉQUIPÉS POUR UN OU PLUSIEURS MODES DE TRANSPORT</v>
      </c>
      <c r="C10552">
        <v>750000</v>
      </c>
      <c r="D10552">
        <v>9950</v>
      </c>
    </row>
    <row r="10553" spans="1:4" x14ac:dyDescent="0.25">
      <c r="A10553" t="str">
        <f>T("   870120")</f>
        <v xml:space="preserve">   870120</v>
      </c>
      <c r="B10553" t="str">
        <f>T("   Tracteurs routiers pour semi-remorques")</f>
        <v xml:space="preserve">   Tracteurs routiers pour semi-remorques</v>
      </c>
      <c r="C10553">
        <v>47814812</v>
      </c>
      <c r="D10553">
        <v>128467</v>
      </c>
    </row>
    <row r="10554" spans="1:4" x14ac:dyDescent="0.25">
      <c r="A10554" t="str">
        <f>T("   870210")</f>
        <v xml:space="preserve">   870210</v>
      </c>
      <c r="B10554" t="s">
        <v>477</v>
      </c>
      <c r="C10554">
        <v>15004600</v>
      </c>
      <c r="D10554">
        <v>35595</v>
      </c>
    </row>
    <row r="10555" spans="1:4" x14ac:dyDescent="0.25">
      <c r="A10555" t="str">
        <f>T("   870321")</f>
        <v xml:space="preserve">   870321</v>
      </c>
      <c r="B10555" t="s">
        <v>479</v>
      </c>
      <c r="C10555">
        <v>1316738</v>
      </c>
      <c r="D10555">
        <v>1150</v>
      </c>
    </row>
    <row r="10556" spans="1:4" x14ac:dyDescent="0.25">
      <c r="A10556" t="str">
        <f>T("   870322")</f>
        <v xml:space="preserve">   870322</v>
      </c>
      <c r="B10556" t="s">
        <v>480</v>
      </c>
      <c r="C10556">
        <v>83752836</v>
      </c>
      <c r="D10556">
        <v>51399</v>
      </c>
    </row>
    <row r="10557" spans="1:4" x14ac:dyDescent="0.25">
      <c r="A10557" t="str">
        <f>T("   870323")</f>
        <v xml:space="preserve">   870323</v>
      </c>
      <c r="B10557" t="s">
        <v>481</v>
      </c>
      <c r="C10557">
        <v>45435945</v>
      </c>
      <c r="D10557">
        <v>22693</v>
      </c>
    </row>
    <row r="10558" spans="1:4" x14ac:dyDescent="0.25">
      <c r="A10558" t="str">
        <f>T("   870324")</f>
        <v xml:space="preserve">   870324</v>
      </c>
      <c r="B10558" t="s">
        <v>482</v>
      </c>
      <c r="C10558">
        <v>26468823</v>
      </c>
      <c r="D10558">
        <v>8609</v>
      </c>
    </row>
    <row r="10559" spans="1:4" x14ac:dyDescent="0.25">
      <c r="A10559" t="str">
        <f>T("   870331")</f>
        <v xml:space="preserve">   870331</v>
      </c>
      <c r="B10559" t="s">
        <v>483</v>
      </c>
      <c r="C10559">
        <v>1200000</v>
      </c>
      <c r="D10559">
        <v>1245</v>
      </c>
    </row>
    <row r="10560" spans="1:4" x14ac:dyDescent="0.25">
      <c r="A10560" t="str">
        <f>T("   870333")</f>
        <v xml:space="preserve">   870333</v>
      </c>
      <c r="B10560" t="s">
        <v>485</v>
      </c>
      <c r="C10560">
        <v>11991920</v>
      </c>
      <c r="D10560">
        <v>12695</v>
      </c>
    </row>
    <row r="10561" spans="1:4" x14ac:dyDescent="0.25">
      <c r="A10561" t="str">
        <f>T("   870421")</f>
        <v xml:space="preserve">   870421</v>
      </c>
      <c r="B10561" t="s">
        <v>486</v>
      </c>
      <c r="C10561">
        <v>132734632</v>
      </c>
      <c r="D10561">
        <v>80574</v>
      </c>
    </row>
    <row r="10562" spans="1:4" x14ac:dyDescent="0.25">
      <c r="A10562" t="str">
        <f>T("   870422")</f>
        <v xml:space="preserve">   870422</v>
      </c>
      <c r="B10562" t="s">
        <v>487</v>
      </c>
      <c r="C10562">
        <v>22458809</v>
      </c>
      <c r="D10562">
        <v>80030</v>
      </c>
    </row>
    <row r="10563" spans="1:4" x14ac:dyDescent="0.25">
      <c r="A10563" t="str">
        <f>T("   870423")</f>
        <v xml:space="preserve">   870423</v>
      </c>
      <c r="B10563" t="s">
        <v>488</v>
      </c>
      <c r="C10563">
        <v>57951600</v>
      </c>
      <c r="D10563">
        <v>96000</v>
      </c>
    </row>
    <row r="10564" spans="1:4" x14ac:dyDescent="0.25">
      <c r="A10564" t="str">
        <f>T("   870431")</f>
        <v xml:space="preserve">   870431</v>
      </c>
      <c r="B10564" t="s">
        <v>489</v>
      </c>
      <c r="C10564">
        <v>14858673</v>
      </c>
      <c r="D10564">
        <v>14830</v>
      </c>
    </row>
    <row r="10565" spans="1:4" x14ac:dyDescent="0.25">
      <c r="A10565" t="str">
        <f>T("   870432")</f>
        <v xml:space="preserve">   870432</v>
      </c>
      <c r="B10565" t="s">
        <v>490</v>
      </c>
      <c r="C10565">
        <v>1732322</v>
      </c>
      <c r="D10565">
        <v>17900</v>
      </c>
    </row>
    <row r="10566" spans="1:4" x14ac:dyDescent="0.25">
      <c r="A10566" t="str">
        <f>T("   870490")</f>
        <v xml:space="preserve">   870490</v>
      </c>
      <c r="B10566" t="str">
        <f>T("   Véhicules automobiles pour le transport de marchandises à moteur autre qu'à piston à allumage par étincelles ou moteur diesel ou semi-diesel (sauf tombereaux automoteurs du n° 8704.10, véhicules automobiles à usages spéciaux du n° 8705)")</f>
        <v xml:space="preserve">   Véhicules automobiles pour le transport de marchandises à moteur autre qu'à piston à allumage par étincelles ou moteur diesel ou semi-diesel (sauf tombereaux automoteurs du n° 8704.10, véhicules automobiles à usages spéciaux du n° 8705)</v>
      </c>
      <c r="C10566">
        <v>1200000</v>
      </c>
      <c r="D10566">
        <v>1100</v>
      </c>
    </row>
    <row r="10567" spans="1:4" x14ac:dyDescent="0.25">
      <c r="A10567" t="str">
        <f>T("   870510")</f>
        <v xml:space="preserve">   870510</v>
      </c>
      <c r="B10567" t="str">
        <f>T("   Camions-grues (sauf dépanneuses)")</f>
        <v xml:space="preserve">   Camions-grues (sauf dépanneuses)</v>
      </c>
      <c r="C10567">
        <v>4654402</v>
      </c>
      <c r="D10567">
        <v>17720</v>
      </c>
    </row>
    <row r="10568" spans="1:4" x14ac:dyDescent="0.25">
      <c r="A10568" t="str">
        <f>T("   870590")</f>
        <v xml:space="preserve">   870590</v>
      </c>
      <c r="B10568" t="s">
        <v>491</v>
      </c>
      <c r="C10568">
        <v>2880300</v>
      </c>
      <c r="D10568">
        <v>2350</v>
      </c>
    </row>
    <row r="10569" spans="1:4" x14ac:dyDescent="0.25">
      <c r="A10569" t="str">
        <f>T("   870840")</f>
        <v xml:space="preserve">   870840</v>
      </c>
      <c r="B10569" t="str">
        <f>T("   BOÎTES DE VITESSE ET LEURS PARTIES, POUR TRACTEURS, VÉHICULES POUR LE TRANSPORT DE &gt;= 10 PERSONNES, CHAUFFEUR INCLUS, VOITURES DE TOURISME, VÉHICULES POUR LE TRANSPORT DE MARCHANDISES ET VÉHICULES À USAGES SPÉCIAUX, N.D.A.")</f>
        <v xml:space="preserve">   BOÎTES DE VITESSE ET LEURS PARTIES, POUR TRACTEURS, VÉHICULES POUR LE TRANSPORT DE &gt;= 10 PERSONNES, CHAUFFEUR INCLUS, VOITURES DE TOURISME, VÉHICULES POUR LE TRANSPORT DE MARCHANDISES ET VÉHICULES À USAGES SPÉCIAUX, N.D.A.</v>
      </c>
      <c r="C10569">
        <v>624000</v>
      </c>
      <c r="D10569">
        <v>540</v>
      </c>
    </row>
    <row r="10570" spans="1:4" x14ac:dyDescent="0.25">
      <c r="A10570" t="str">
        <f>T("   870860")</f>
        <v xml:space="preserve">   870860</v>
      </c>
      <c r="B10570" t="str">
        <f>T("   ESSIEUX PORTEURS ET LEURS PARTIES, POUR TRACTEURS, VÉHICULES POUR LE TRANSPORT DE &gt;= 10 PERSONNES, CHAUFFEUR INCLUS, VOITURES DE TOURISME, VÉHICULES POUR LE TRANSPORT DE MARCHANDISES ET VÉHICULES À USAGES SPÉCIAUX N.D.A.")</f>
        <v xml:space="preserve">   ESSIEUX PORTEURS ET LEURS PARTIES, POUR TRACTEURS, VÉHICULES POUR LE TRANSPORT DE &gt;= 10 PERSONNES, CHAUFFEUR INCLUS, VOITURES DE TOURISME, VÉHICULES POUR LE TRANSPORT DE MARCHANDISES ET VÉHICULES À USAGES SPÉCIAUX N.D.A.</v>
      </c>
      <c r="C10570">
        <v>1626345</v>
      </c>
      <c r="D10570">
        <v>2365</v>
      </c>
    </row>
    <row r="10571" spans="1:4" x14ac:dyDescent="0.25">
      <c r="A10571" t="str">
        <f>T("   870870")</f>
        <v xml:space="preserve">   870870</v>
      </c>
      <c r="B10571" t="str">
        <f>T("   ROUES, LEURS PARTIES ET ACCESSOIRES POUR TRACTEURS, VÉHICULES POUR LE TRANSPORT DE &gt;= 10 PERSONNES, CHAUFFEUR INCLUS, VOITURES DE TOURISME, VÉHICULES POUR LE TRANSPORT DE MARCHANDISES ET VÉHICULES À USAGES SPÉCIAUX, N.D.A.")</f>
        <v xml:space="preserve">   ROUES, LEURS PARTIES ET ACCESSOIRES POUR TRACTEURS, VÉHICULES POUR LE TRANSPORT DE &gt;= 10 PERSONNES, CHAUFFEUR INCLUS, VOITURES DE TOURISME, VÉHICULES POUR LE TRANSPORT DE MARCHANDISES ET VÉHICULES À USAGES SPÉCIAUX, N.D.A.</v>
      </c>
      <c r="C10571">
        <v>664207</v>
      </c>
      <c r="D10571">
        <v>74701</v>
      </c>
    </row>
    <row r="10572" spans="1:4" x14ac:dyDescent="0.25">
      <c r="A10572" t="str">
        <f>T("   870899")</f>
        <v xml:space="preserve">   870899</v>
      </c>
      <c r="B10572"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10572">
        <v>845810</v>
      </c>
      <c r="D10572">
        <v>5182</v>
      </c>
    </row>
    <row r="10573" spans="1:4" x14ac:dyDescent="0.25">
      <c r="A10573" t="str">
        <f>T("   871110")</f>
        <v xml:space="preserve">   871110</v>
      </c>
      <c r="B10573" t="str">
        <f>T("   Cyclomoteurs, à moteur à piston alternatif, cylindrée &lt;= 50 cm³, y.c. cycles à moteur auxiliaire")</f>
        <v xml:space="preserve">   Cyclomoteurs, à moteur à piston alternatif, cylindrée &lt;= 50 cm³, y.c. cycles à moteur auxiliaire</v>
      </c>
      <c r="C10573">
        <v>240000</v>
      </c>
      <c r="D10573">
        <v>125</v>
      </c>
    </row>
    <row r="10574" spans="1:4" x14ac:dyDescent="0.25">
      <c r="A10574" t="str">
        <f>T("   871120")</f>
        <v xml:space="preserve">   871120</v>
      </c>
      <c r="B10574" t="str">
        <f>T("   Motocycles à moteur à piston alternatif, cylindrée &gt; 50 cm³ mais &lt;= 250 cm³")</f>
        <v xml:space="preserve">   Motocycles à moteur à piston alternatif, cylindrée &gt; 50 cm³ mais &lt;= 250 cm³</v>
      </c>
      <c r="C10574">
        <v>46900368</v>
      </c>
      <c r="D10574">
        <v>25814</v>
      </c>
    </row>
    <row r="10575" spans="1:4" x14ac:dyDescent="0.25">
      <c r="A10575" t="str">
        <f>T("   871130")</f>
        <v xml:space="preserve">   871130</v>
      </c>
      <c r="B10575" t="str">
        <f>T("   Motocycles à moteur à piston alternatif, cylindrée &gt; 250 cm³ mais &lt;= 500 cm³")</f>
        <v xml:space="preserve">   Motocycles à moteur à piston alternatif, cylindrée &gt; 250 cm³ mais &lt;= 500 cm³</v>
      </c>
      <c r="C10575">
        <v>2250000</v>
      </c>
      <c r="D10575">
        <v>862</v>
      </c>
    </row>
    <row r="10576" spans="1:4" x14ac:dyDescent="0.25">
      <c r="A10576" t="str">
        <f>T("   871200")</f>
        <v xml:space="preserve">   871200</v>
      </c>
      <c r="B10576" t="str">
        <f>T("   BICYCLETTES ET AUTRES CYCLES, -Y.C. LES TRIPORTEURS-, SANS MOTEUR")</f>
        <v xml:space="preserve">   BICYCLETTES ET AUTRES CYCLES, -Y.C. LES TRIPORTEURS-, SANS MOTEUR</v>
      </c>
      <c r="C10576">
        <v>171206</v>
      </c>
      <c r="D10576">
        <v>60</v>
      </c>
    </row>
    <row r="10577" spans="1:4" x14ac:dyDescent="0.25">
      <c r="A10577" t="str">
        <f>T("   871411")</f>
        <v xml:space="preserve">   871411</v>
      </c>
      <c r="B10577" t="str">
        <f>T("   Selles de motocycles, y.c. de cyclomoteurs")</f>
        <v xml:space="preserve">   Selles de motocycles, y.c. de cyclomoteurs</v>
      </c>
      <c r="C10577">
        <v>10000000</v>
      </c>
      <c r="D10577">
        <v>34060</v>
      </c>
    </row>
    <row r="10578" spans="1:4" x14ac:dyDescent="0.25">
      <c r="A10578" t="str">
        <f>T("   871419")</f>
        <v xml:space="preserve">   871419</v>
      </c>
      <c r="B10578" t="str">
        <f>T("   Parties et accessoires de motocycles, y.c. de cyclomoteurs, n.d.a.")</f>
        <v xml:space="preserve">   Parties et accessoires de motocycles, y.c. de cyclomoteurs, n.d.a.</v>
      </c>
      <c r="C10578">
        <v>2370109</v>
      </c>
      <c r="D10578">
        <v>6245</v>
      </c>
    </row>
    <row r="10579" spans="1:4" x14ac:dyDescent="0.25">
      <c r="A10579" t="str">
        <f>T("   871494")</f>
        <v xml:space="preserve">   871494</v>
      </c>
      <c r="B10579" t="str">
        <f>T("   Freins, y.c. les moyeux à frein, et leurs parties, de bicyclettes")</f>
        <v xml:space="preserve">   Freins, y.c. les moyeux à frein, et leurs parties, de bicyclettes</v>
      </c>
      <c r="C10579">
        <v>6980156</v>
      </c>
      <c r="D10579">
        <v>511</v>
      </c>
    </row>
    <row r="10580" spans="1:4" x14ac:dyDescent="0.25">
      <c r="A10580" t="str">
        <f>T("   871499")</f>
        <v xml:space="preserve">   871499</v>
      </c>
      <c r="B10580" t="str">
        <f>T("   Parties et accessoires, de bicyclettes, n.d.a.")</f>
        <v xml:space="preserve">   Parties et accessoires, de bicyclettes, n.d.a.</v>
      </c>
      <c r="C10580">
        <v>9929627</v>
      </c>
      <c r="D10580">
        <v>854</v>
      </c>
    </row>
    <row r="10581" spans="1:4" x14ac:dyDescent="0.25">
      <c r="A10581" t="str">
        <f>T("   871620")</f>
        <v xml:space="preserve">   871620</v>
      </c>
      <c r="B10581" t="str">
        <f>T("   Remorques et semi-remorques autochargeuses ou autodéchargeuses, pour usages agricoles")</f>
        <v xml:space="preserve">   Remorques et semi-remorques autochargeuses ou autodéchargeuses, pour usages agricoles</v>
      </c>
      <c r="C10581">
        <v>1293833</v>
      </c>
      <c r="D10581">
        <v>29500</v>
      </c>
    </row>
    <row r="10582" spans="1:4" x14ac:dyDescent="0.25">
      <c r="A10582" t="str">
        <f>T("   871631")</f>
        <v xml:space="preserve">   871631</v>
      </c>
      <c r="B10582" t="str">
        <f>T("   Remorques-citernes ne circulant pas sur rails")</f>
        <v xml:space="preserve">   Remorques-citernes ne circulant pas sur rails</v>
      </c>
      <c r="C10582">
        <v>2400000</v>
      </c>
      <c r="D10582">
        <v>14400</v>
      </c>
    </row>
    <row r="10583" spans="1:4" x14ac:dyDescent="0.25">
      <c r="A10583" t="str">
        <f>T("   871640")</f>
        <v xml:space="preserve">   871640</v>
      </c>
      <c r="B10583"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10583">
        <v>18579860</v>
      </c>
      <c r="D10583">
        <v>14400</v>
      </c>
    </row>
    <row r="10584" spans="1:4" x14ac:dyDescent="0.25">
      <c r="A10584" t="str">
        <f>T("   871680")</f>
        <v xml:space="preserve">   871680</v>
      </c>
      <c r="B10584" t="str">
        <f>T("   Véhicules dirigés à la main et autres véhicules non automobiles, autres que remorques et semi-remorques")</f>
        <v xml:space="preserve">   Véhicules dirigés à la main et autres véhicules non automobiles, autres que remorques et semi-remorques</v>
      </c>
      <c r="C10584">
        <v>65062296</v>
      </c>
      <c r="D10584">
        <v>26730</v>
      </c>
    </row>
    <row r="10585" spans="1:4" x14ac:dyDescent="0.25">
      <c r="A10585" t="str">
        <f>T("   900150")</f>
        <v xml:space="preserve">   900150</v>
      </c>
      <c r="B10585" t="str">
        <f>T("   Verres de lunetterie en matières autres que le verre")</f>
        <v xml:space="preserve">   Verres de lunetterie en matières autres que le verre</v>
      </c>
      <c r="C10585">
        <v>178901</v>
      </c>
      <c r="D10585">
        <v>20</v>
      </c>
    </row>
    <row r="10586" spans="1:4" x14ac:dyDescent="0.25">
      <c r="A10586" t="str">
        <f>T("   900190")</f>
        <v xml:space="preserve">   900190</v>
      </c>
      <c r="B10586" t="str">
        <f>T("   Lentilles, prismes, miroirs et autres éléments d'optique, en toutes matières, non montés (autres que ceux en verre non travaillé optiquement ainsi que les verres de contact et les verres de lunetterie)")</f>
        <v xml:space="preserve">   Lentilles, prismes, miroirs et autres éléments d'optique, en toutes matières, non montés (autres que ceux en verre non travaillé optiquement ainsi que les verres de contact et les verres de lunetterie)</v>
      </c>
      <c r="C10586">
        <v>118083</v>
      </c>
      <c r="D10586">
        <v>90</v>
      </c>
    </row>
    <row r="10587" spans="1:4" x14ac:dyDescent="0.25">
      <c r="A10587" t="str">
        <f>T("   900659")</f>
        <v xml:space="preserve">   900659</v>
      </c>
      <c r="B10587" t="s">
        <v>498</v>
      </c>
      <c r="C10587">
        <v>394672</v>
      </c>
      <c r="D10587">
        <v>830</v>
      </c>
    </row>
    <row r="10588" spans="1:4" x14ac:dyDescent="0.25">
      <c r="A10588" t="str">
        <f>T("   900699")</f>
        <v xml:space="preserve">   900699</v>
      </c>
      <c r="B10588" t="str">
        <f>T("   Parties et accessoires des appareils et dispositifs pour la production de la lumière-éclair en photographie, n.d.a.")</f>
        <v xml:space="preserve">   Parties et accessoires des appareils et dispositifs pour la production de la lumière-éclair en photographie, n.d.a.</v>
      </c>
      <c r="C10588">
        <v>865000</v>
      </c>
      <c r="D10588">
        <v>400</v>
      </c>
    </row>
    <row r="10589" spans="1:4" x14ac:dyDescent="0.25">
      <c r="A10589" t="str">
        <f>T("   900840")</f>
        <v xml:space="preserve">   900840</v>
      </c>
      <c r="B10589" t="str">
        <f>T("   Appareils photographiques d'agrandissement ou de réduction")</f>
        <v xml:space="preserve">   Appareils photographiques d'agrandissement ou de réduction</v>
      </c>
      <c r="C10589">
        <v>873840</v>
      </c>
      <c r="D10589">
        <v>500</v>
      </c>
    </row>
    <row r="10590" spans="1:4" x14ac:dyDescent="0.25">
      <c r="A10590" t="str">
        <f>T("   900921")</f>
        <v xml:space="preserve">   900921</v>
      </c>
      <c r="B10590" t="str">
        <f>T("   Appareils de photocopie à système optique (autres qu'électrostatiques)")</f>
        <v xml:space="preserve">   Appareils de photocopie à système optique (autres qu'électrostatiques)</v>
      </c>
      <c r="C10590">
        <v>443460</v>
      </c>
      <c r="D10590">
        <v>40</v>
      </c>
    </row>
    <row r="10591" spans="1:4" x14ac:dyDescent="0.25">
      <c r="A10591" t="str">
        <f>T("   901010")</f>
        <v xml:space="preserve">   901010</v>
      </c>
      <c r="B10591" t="s">
        <v>499</v>
      </c>
      <c r="C10591">
        <v>120000</v>
      </c>
      <c r="D10591">
        <v>360</v>
      </c>
    </row>
    <row r="10592" spans="1:4" x14ac:dyDescent="0.25">
      <c r="A10592" t="str">
        <f>T("   901831")</f>
        <v xml:space="preserve">   901831</v>
      </c>
      <c r="B10592" t="str">
        <f>T("   Seringues, avec ou sans aiguilles, pour la médecine")</f>
        <v xml:space="preserve">   Seringues, avec ou sans aiguilles, pour la médecine</v>
      </c>
      <c r="C10592">
        <v>76851</v>
      </c>
      <c r="D10592">
        <v>105</v>
      </c>
    </row>
    <row r="10593" spans="1:4" x14ac:dyDescent="0.25">
      <c r="A10593" t="str">
        <f>T("   901849")</f>
        <v xml:space="preserve">   901849</v>
      </c>
      <c r="B10593" t="str">
        <f>T("   Instruments et appareils pour l'art dentaire, n.d.a.")</f>
        <v xml:space="preserve">   Instruments et appareils pour l'art dentaire, n.d.a.</v>
      </c>
      <c r="C10593">
        <v>116620</v>
      </c>
      <c r="D10593">
        <v>480</v>
      </c>
    </row>
    <row r="10594" spans="1:4" x14ac:dyDescent="0.25">
      <c r="A10594" t="str">
        <f>T("   901890")</f>
        <v xml:space="preserve">   901890</v>
      </c>
      <c r="B10594" t="str">
        <f>T("   Instruments et appareils pour la médecine, la chirurgie ou l'art vétérinaire, n.d.a.")</f>
        <v xml:space="preserve">   Instruments et appareils pour la médecine, la chirurgie ou l'art vétérinaire, n.d.a.</v>
      </c>
      <c r="C10594">
        <v>4316298</v>
      </c>
      <c r="D10594">
        <v>19333</v>
      </c>
    </row>
    <row r="10595" spans="1:4" x14ac:dyDescent="0.25">
      <c r="A10595" t="str">
        <f>T("   902620")</f>
        <v xml:space="preserve">   902620</v>
      </c>
      <c r="B10595" t="str">
        <f>T("   Instruments et appareils pour la mesure ou le contrôle de la pression des liquides ou des gaz (à l'excl. des instruments et appareils pour la régulation ou le contrôle automatiques)")</f>
        <v xml:space="preserve">   Instruments et appareils pour la mesure ou le contrôle de la pression des liquides ou des gaz (à l'excl. des instruments et appareils pour la régulation ou le contrôle automatiques)</v>
      </c>
      <c r="C10595">
        <v>64000</v>
      </c>
      <c r="D10595">
        <v>4</v>
      </c>
    </row>
    <row r="10596" spans="1:4" x14ac:dyDescent="0.25">
      <c r="A10596" t="str">
        <f>T("   902820")</f>
        <v xml:space="preserve">   902820</v>
      </c>
      <c r="B10596" t="str">
        <f>T("   Compteurs de liquides, y.c. les compteurs pour leur étalonnage")</f>
        <v xml:space="preserve">   Compteurs de liquides, y.c. les compteurs pour leur étalonnage</v>
      </c>
      <c r="C10596">
        <v>12400</v>
      </c>
      <c r="D10596">
        <v>10</v>
      </c>
    </row>
    <row r="10597" spans="1:4" x14ac:dyDescent="0.25">
      <c r="A10597" t="str">
        <f>T("   902830")</f>
        <v xml:space="preserve">   902830</v>
      </c>
      <c r="B10597" t="str">
        <f>T("   Compteurs d'électricité, y.c. les compteurs pour leur étalonnage")</f>
        <v xml:space="preserve">   Compteurs d'électricité, y.c. les compteurs pour leur étalonnage</v>
      </c>
      <c r="C10597">
        <v>600000</v>
      </c>
      <c r="D10597">
        <v>5500</v>
      </c>
    </row>
    <row r="10598" spans="1:4" x14ac:dyDescent="0.25">
      <c r="A10598" t="str">
        <f>T("   920190")</f>
        <v xml:space="preserve">   920190</v>
      </c>
      <c r="B10598" t="str">
        <f>T("   Clavecins et autres instruments à cordes à clavier (autres que pianos)")</f>
        <v xml:space="preserve">   Clavecins et autres instruments à cordes à clavier (autres que pianos)</v>
      </c>
      <c r="C10598">
        <v>145455</v>
      </c>
      <c r="D10598">
        <v>65</v>
      </c>
    </row>
    <row r="10599" spans="1:4" x14ac:dyDescent="0.25">
      <c r="A10599" t="str">
        <f>T("   920600")</f>
        <v xml:space="preserve">   920600</v>
      </c>
      <c r="B10599" t="str">
        <f>T("   INSTRUMENTS DE MUSIQUE À PERCUSSION, P.EX. TAMBOURS, CAISSES, XYLOPHONES, CYMBALES, CASTAGNETTES, MARACAS [01/01/1988-31/12/1994: TAMBOURS, CAISSES, XYLOPHONES, CYMBALES, CASTAGNETTES, MARACAS ET AUTRES INSTRUMENTS DE MUSIQUE A PERCUSSION]")</f>
        <v xml:space="preserve">   INSTRUMENTS DE MUSIQUE À PERCUSSION, P.EX. TAMBOURS, CAISSES, XYLOPHONES, CYMBALES, CASTAGNETTES, MARACAS [01/01/1988-31/12/1994: TAMBOURS, CAISSES, XYLOPHONES, CYMBALES, CASTAGNETTES, MARACAS ET AUTRES INSTRUMENTS DE MUSIQUE A PERCUSSION]</v>
      </c>
      <c r="C10599">
        <v>1527272</v>
      </c>
      <c r="D10599">
        <v>700</v>
      </c>
    </row>
    <row r="10600" spans="1:4" x14ac:dyDescent="0.25">
      <c r="A10600" t="str">
        <f>T("   930390")</f>
        <v xml:space="preserve">   930390</v>
      </c>
      <c r="B10600" t="str">
        <f>T("   Armes à feu et engins simil. utilisant la déflagration de la poudre (autres que fusils et carabines de chasse ou de tir sportif, revolvers et pistolets du n° 9302 ainsi qu'armes de guerre)")</f>
        <v xml:space="preserve">   Armes à feu et engins simil. utilisant la déflagration de la poudre (autres que fusils et carabines de chasse ou de tir sportif, revolvers et pistolets du n° 9302 ainsi qu'armes de guerre)</v>
      </c>
      <c r="C10600">
        <v>400000</v>
      </c>
      <c r="D10600">
        <v>850</v>
      </c>
    </row>
    <row r="10601" spans="1:4" x14ac:dyDescent="0.25">
      <c r="A10601" t="str">
        <f>T("   940161")</f>
        <v xml:space="preserve">   940161</v>
      </c>
      <c r="B10601" t="str">
        <f>T("   Sièges, avec bâti en bois, rembourrés (non transformables en lits)")</f>
        <v xml:space="preserve">   Sièges, avec bâti en bois, rembourrés (non transformables en lits)</v>
      </c>
      <c r="C10601">
        <v>715992</v>
      </c>
      <c r="D10601">
        <v>2170</v>
      </c>
    </row>
    <row r="10602" spans="1:4" x14ac:dyDescent="0.25">
      <c r="A10602" t="str">
        <f>T("   940169")</f>
        <v xml:space="preserve">   940169</v>
      </c>
      <c r="B10602" t="str">
        <f>T("   Sièges, avec bâti en bois, non rembourrés")</f>
        <v xml:space="preserve">   Sièges, avec bâti en bois, non rembourrés</v>
      </c>
      <c r="C10602">
        <v>2280929</v>
      </c>
      <c r="D10602">
        <v>2249</v>
      </c>
    </row>
    <row r="10603" spans="1:4" x14ac:dyDescent="0.25">
      <c r="A10603" t="str">
        <f>T("   940179")</f>
        <v xml:space="preserve">   940179</v>
      </c>
      <c r="B10603" t="str">
        <f>T("   Sièges, avec bâti en métal non rembourrés (autres que fauteuils pivotants ajustables en hauteur et autres que pour la médecine, l'art dentaire ou la chirurgie)")</f>
        <v xml:space="preserve">   Sièges, avec bâti en métal non rembourrés (autres que fauteuils pivotants ajustables en hauteur et autres que pour la médecine, l'art dentaire ou la chirurgie)</v>
      </c>
      <c r="C10603">
        <v>2000000</v>
      </c>
      <c r="D10603">
        <v>6560</v>
      </c>
    </row>
    <row r="10604" spans="1:4" x14ac:dyDescent="0.25">
      <c r="A10604" t="str">
        <f>T("   940180")</f>
        <v xml:space="preserve">   940180</v>
      </c>
      <c r="B10604" t="str">
        <f>T("   Sièges, n.d.a.")</f>
        <v xml:space="preserve">   Sièges, n.d.a.</v>
      </c>
      <c r="C10604">
        <v>3163800</v>
      </c>
      <c r="D10604">
        <v>4050</v>
      </c>
    </row>
    <row r="10605" spans="1:4" x14ac:dyDescent="0.25">
      <c r="A10605" t="str">
        <f>T("   940290")</f>
        <v xml:space="preserve">   940290</v>
      </c>
      <c r="B10605" t="str">
        <f>T("   Tables d'opération, tables d'examen et autre mobilier pour la médecine, la chirurgie, l'art dentaire ou vétérinaire (sauf fauteuils de dentistes et autres sièges, tables d'examen radiographique, civières et brancards, y.c. chariots-brancards)")</f>
        <v xml:space="preserve">   Tables d'opération, tables d'examen et autre mobilier pour la médecine, la chirurgie, l'art dentaire ou vétérinaire (sauf fauteuils de dentistes et autres sièges, tables d'examen radiographique, civières et brancards, y.c. chariots-brancards)</v>
      </c>
      <c r="C10605">
        <v>2500000</v>
      </c>
      <c r="D10605">
        <v>517</v>
      </c>
    </row>
    <row r="10606" spans="1:4" x14ac:dyDescent="0.25">
      <c r="A10606" t="str">
        <f>T("   940310")</f>
        <v xml:space="preserve">   940310</v>
      </c>
      <c r="B10606" t="str">
        <f>T("   Meubles de bureau en métal (sauf sièges)")</f>
        <v xml:space="preserve">   Meubles de bureau en métal (sauf sièges)</v>
      </c>
      <c r="C10606">
        <v>2795000</v>
      </c>
      <c r="D10606">
        <v>880</v>
      </c>
    </row>
    <row r="10607" spans="1:4" x14ac:dyDescent="0.25">
      <c r="A10607" t="str">
        <f>T("   940320")</f>
        <v xml:space="preserve">   940320</v>
      </c>
      <c r="B10607"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10607">
        <v>3000000</v>
      </c>
      <c r="D10607">
        <v>4386</v>
      </c>
    </row>
    <row r="10608" spans="1:4" x14ac:dyDescent="0.25">
      <c r="A10608" t="str">
        <f>T("   940330")</f>
        <v xml:space="preserve">   940330</v>
      </c>
      <c r="B10608" t="str">
        <f>T("   Meubles de bureau en bois (sauf sièges)")</f>
        <v xml:space="preserve">   Meubles de bureau en bois (sauf sièges)</v>
      </c>
      <c r="C10608">
        <v>9108050</v>
      </c>
      <c r="D10608">
        <v>21263</v>
      </c>
    </row>
    <row r="10609" spans="1:4" x14ac:dyDescent="0.25">
      <c r="A10609" t="str">
        <f>T("   940350")</f>
        <v xml:space="preserve">   940350</v>
      </c>
      <c r="B10609" t="str">
        <f>T("   Meubles pour chambres à coucher, en bois (sauf sièges)")</f>
        <v xml:space="preserve">   Meubles pour chambres à coucher, en bois (sauf sièges)</v>
      </c>
      <c r="C10609">
        <v>51804</v>
      </c>
      <c r="D10609">
        <v>253</v>
      </c>
    </row>
    <row r="10610" spans="1:4" x14ac:dyDescent="0.25">
      <c r="A10610" t="str">
        <f>T("   940360")</f>
        <v xml:space="preserve">   940360</v>
      </c>
      <c r="B10610" t="str">
        <f>T("   Meubles en bois (autres que pour bureaux, cuisines ou chambres à coucher et autres que sièges)")</f>
        <v xml:space="preserve">   Meubles en bois (autres que pour bureaux, cuisines ou chambres à coucher et autres que sièges)</v>
      </c>
      <c r="C10610">
        <v>30046038</v>
      </c>
      <c r="D10610">
        <v>117635</v>
      </c>
    </row>
    <row r="10611" spans="1:4" x14ac:dyDescent="0.25">
      <c r="A10611" t="str">
        <f>T("   940370")</f>
        <v xml:space="preserve">   940370</v>
      </c>
      <c r="B10611" t="str">
        <f>T("   Meubles en matières plastiques (autres que pour la médecine, l'art dentaire et vétérinaire, la chirurgie et autres que sièges)")</f>
        <v xml:space="preserve">   Meubles en matières plastiques (autres que pour la médecine, l'art dentaire et vétérinaire, la chirurgie et autres que sièges)</v>
      </c>
      <c r="C10611">
        <v>1000000</v>
      </c>
      <c r="D10611">
        <v>5000</v>
      </c>
    </row>
    <row r="10612" spans="1:4" x14ac:dyDescent="0.25">
      <c r="A10612" t="str">
        <f>T("   940380")</f>
        <v xml:space="preserve">   940380</v>
      </c>
      <c r="B10612" t="str">
        <f>T("   Meubles en rotin, osier, bambou ou autres matières (sauf métal, bois et matières plastiques)")</f>
        <v xml:space="preserve">   Meubles en rotin, osier, bambou ou autres matières (sauf métal, bois et matières plastiques)</v>
      </c>
      <c r="C10612">
        <v>3352770</v>
      </c>
      <c r="D10612">
        <v>9200</v>
      </c>
    </row>
    <row r="10613" spans="1:4" x14ac:dyDescent="0.25">
      <c r="A10613" t="str">
        <f>T("   940410")</f>
        <v xml:space="preserve">   940410</v>
      </c>
      <c r="B10613" t="str">
        <f>T("   Sommiers (sauf ressorts pour sièges)")</f>
        <v xml:space="preserve">   Sommiers (sauf ressorts pour sièges)</v>
      </c>
      <c r="C10613">
        <v>151000</v>
      </c>
      <c r="D10613">
        <v>60</v>
      </c>
    </row>
    <row r="10614" spans="1:4" x14ac:dyDescent="0.25">
      <c r="A10614" t="str">
        <f>T("   940421")</f>
        <v xml:space="preserve">   940421</v>
      </c>
      <c r="B10614" t="str">
        <f>T("   Matelas en caoutchouc alvéolaire ou en matières plastiques alvéolaires")</f>
        <v xml:space="preserve">   Matelas en caoutchouc alvéolaire ou en matières plastiques alvéolaires</v>
      </c>
      <c r="C10614">
        <v>5414654</v>
      </c>
      <c r="D10614">
        <v>26266</v>
      </c>
    </row>
    <row r="10615" spans="1:4" x14ac:dyDescent="0.25">
      <c r="A10615" t="str">
        <f>T("   940429")</f>
        <v xml:space="preserve">   940429</v>
      </c>
      <c r="B10615" t="str">
        <f>T("   Matelas à ressorts ou rembourrés, ou garnis intérieurement de matières autres que le caoutchouc alvéolaire ou les matières plastiques alvéolaires (sauf matelas à eau, matelas pneumatiques et oreillers)")</f>
        <v xml:space="preserve">   Matelas à ressorts ou rembourrés, ou garnis intérieurement de matières autres que le caoutchouc alvéolaire ou les matières plastiques alvéolaires (sauf matelas à eau, matelas pneumatiques et oreillers)</v>
      </c>
      <c r="C10615">
        <v>4833597</v>
      </c>
      <c r="D10615">
        <v>8279</v>
      </c>
    </row>
    <row r="10616" spans="1:4" x14ac:dyDescent="0.25">
      <c r="A10616" t="str">
        <f>T("   940490")</f>
        <v xml:space="preserve">   940490</v>
      </c>
      <c r="B10616" t="s">
        <v>514</v>
      </c>
      <c r="C10616">
        <v>9459115</v>
      </c>
      <c r="D10616">
        <v>37947</v>
      </c>
    </row>
    <row r="10617" spans="1:4" x14ac:dyDescent="0.25">
      <c r="A10617" t="str">
        <f>T("   940520")</f>
        <v xml:space="preserve">   940520</v>
      </c>
      <c r="B10617" t="str">
        <f>T("   Lampes de chevet, lampes de bureau et lampadaires d'intérieur, électriques")</f>
        <v xml:space="preserve">   Lampes de chevet, lampes de bureau et lampadaires d'intérieur, électriques</v>
      </c>
      <c r="C10617">
        <v>500000</v>
      </c>
      <c r="D10617">
        <v>239</v>
      </c>
    </row>
    <row r="10618" spans="1:4" x14ac:dyDescent="0.25">
      <c r="A10618" t="str">
        <f>T("   940530")</f>
        <v xml:space="preserve">   940530</v>
      </c>
      <c r="B10618" t="str">
        <f>T("   GUIRLANDES ÉLECTRIQUES POUR ARBRES DE NOÙL")</f>
        <v xml:space="preserve">   GUIRLANDES ÉLECTRIQUES POUR ARBRES DE NOÙL</v>
      </c>
      <c r="C10618">
        <v>64830</v>
      </c>
      <c r="D10618">
        <v>100</v>
      </c>
    </row>
    <row r="10619" spans="1:4" x14ac:dyDescent="0.25">
      <c r="A10619" t="str">
        <f>T("   940540")</f>
        <v xml:space="preserve">   940540</v>
      </c>
      <c r="B10619" t="str">
        <f>T("   Appareils d'éclairage électrique, n.d.a.")</f>
        <v xml:space="preserve">   Appareils d'éclairage électrique, n.d.a.</v>
      </c>
      <c r="C10619">
        <v>422240</v>
      </c>
      <c r="D10619">
        <v>1290</v>
      </c>
    </row>
    <row r="10620" spans="1:4" x14ac:dyDescent="0.25">
      <c r="A10620" t="str">
        <f>T("   950210")</f>
        <v xml:space="preserve">   950210</v>
      </c>
      <c r="B10620" t="str">
        <f>T("   Poupées représentant uniquement l'être humain, habillées ou non")</f>
        <v xml:space="preserve">   Poupées représentant uniquement l'être humain, habillées ou non</v>
      </c>
      <c r="C10620">
        <v>1000000</v>
      </c>
      <c r="D10620">
        <v>7060</v>
      </c>
    </row>
    <row r="10621" spans="1:4" x14ac:dyDescent="0.25">
      <c r="A10621" t="str">
        <f>T("   950330")</f>
        <v xml:space="preserve">   950330</v>
      </c>
      <c r="B10621" t="str">
        <f>T("   Assortiments et jouets de construction (sauf modèles réduits à assembler)")</f>
        <v xml:space="preserve">   Assortiments et jouets de construction (sauf modèles réduits à assembler)</v>
      </c>
      <c r="C10621">
        <v>690458</v>
      </c>
      <c r="D10621">
        <v>2100</v>
      </c>
    </row>
    <row r="10622" spans="1:4" x14ac:dyDescent="0.25">
      <c r="A10622" t="str">
        <f>T("   950349")</f>
        <v xml:space="preserve">   950349</v>
      </c>
      <c r="B10622" t="str">
        <f>T("   JOUETS REPRÉSENTANT DES ANIMAUX OU DES CRÉATURES NON-HUMAINES, NON-REMBOURRÉS")</f>
        <v xml:space="preserve">   JOUETS REPRÉSENTANT DES ANIMAUX OU DES CRÉATURES NON-HUMAINES, NON-REMBOURRÉS</v>
      </c>
      <c r="C10622">
        <v>4825069</v>
      </c>
      <c r="D10622">
        <v>11940</v>
      </c>
    </row>
    <row r="10623" spans="1:4" x14ac:dyDescent="0.25">
      <c r="A10623" t="str">
        <f>T("   950390")</f>
        <v xml:space="preserve">   950390</v>
      </c>
      <c r="B10623" t="str">
        <f>T("   Jouets, n.d.a.")</f>
        <v xml:space="preserve">   Jouets, n.d.a.</v>
      </c>
      <c r="C10623">
        <v>4609025</v>
      </c>
      <c r="D10623">
        <v>5421</v>
      </c>
    </row>
    <row r="10624" spans="1:4" x14ac:dyDescent="0.25">
      <c r="A10624" t="str">
        <f>T("   950490")</f>
        <v xml:space="preserve">   950490</v>
      </c>
      <c r="B10624" t="s">
        <v>516</v>
      </c>
      <c r="C10624">
        <v>500000</v>
      </c>
      <c r="D10624">
        <v>840</v>
      </c>
    </row>
    <row r="10625" spans="1:4" x14ac:dyDescent="0.25">
      <c r="A10625" t="str">
        <f>T("   950720")</f>
        <v xml:space="preserve">   950720</v>
      </c>
      <c r="B10625" t="str">
        <f>T("   Hameçons, avec empile ou non")</f>
        <v xml:space="preserve">   Hameçons, avec empile ou non</v>
      </c>
      <c r="C10625">
        <v>1208477</v>
      </c>
      <c r="D10625">
        <v>3550</v>
      </c>
    </row>
    <row r="10626" spans="1:4" x14ac:dyDescent="0.25">
      <c r="A10626" t="str">
        <f>T("   960321")</f>
        <v xml:space="preserve">   960321</v>
      </c>
      <c r="B10626" t="str">
        <f>T("   Brosses à dent, y.c. brosses à prothèses dentaires")</f>
        <v xml:space="preserve">   Brosses à dent, y.c. brosses à prothèses dentaires</v>
      </c>
      <c r="C10626">
        <v>432199</v>
      </c>
      <c r="D10626">
        <v>710</v>
      </c>
    </row>
    <row r="10627" spans="1:4" x14ac:dyDescent="0.25">
      <c r="A10627" t="str">
        <f>T("   960329")</f>
        <v xml:space="preserve">   960329</v>
      </c>
      <c r="B10627" t="str">
        <f>T("   Brosses et pinceaux à barbe, à cheveux, à cils ou à ongles et autres brosses pour la toilette des personnes, sauf brosses à dent")</f>
        <v xml:space="preserve">   Brosses et pinceaux à barbe, à cheveux, à cils ou à ongles et autres brosses pour la toilette des personnes, sauf brosses à dent</v>
      </c>
      <c r="C10627">
        <v>75635</v>
      </c>
      <c r="D10627">
        <v>420</v>
      </c>
    </row>
    <row r="10628" spans="1:4" x14ac:dyDescent="0.25">
      <c r="A10628" t="str">
        <f>T("   960390")</f>
        <v xml:space="preserve">   960390</v>
      </c>
      <c r="B10628" t="str">
        <f>T("   ARTICLES DE BROSSERIE (SAUF DU N° 9603.10 À 9603.50), P.EX. TÊTES PRÉPARÉES POUR ARTICLES DE BROSSERIE ET RACLETTES EN CAOUTCHOUC OU EN MATIÈRES SOUPLES ANALOGUES")</f>
        <v xml:space="preserve">   ARTICLES DE BROSSERIE (SAUF DU N° 9603.10 À 9603.50), P.EX. TÊTES PRÉPARÉES POUR ARTICLES DE BROSSERIE ET RACLETTES EN CAOUTCHOUC OU EN MATIÈRES SOUPLES ANALOGUES</v>
      </c>
      <c r="C10628">
        <v>108050</v>
      </c>
      <c r="D10628">
        <v>280</v>
      </c>
    </row>
    <row r="10629" spans="1:4" x14ac:dyDescent="0.25">
      <c r="A10629" t="str">
        <f>T("   960610")</f>
        <v xml:space="preserve">   960610</v>
      </c>
      <c r="B10629" t="str">
        <f>T("   Boutons-pression et leurs parties")</f>
        <v xml:space="preserve">   Boutons-pression et leurs parties</v>
      </c>
      <c r="C10629">
        <v>64830</v>
      </c>
      <c r="D10629">
        <v>245</v>
      </c>
    </row>
    <row r="10630" spans="1:4" x14ac:dyDescent="0.25">
      <c r="A10630" t="str">
        <f>T("   960719")</f>
        <v xml:space="preserve">   960719</v>
      </c>
      <c r="B10630" t="str">
        <f>T("   Fermetures à glissière sans agrafes et autres qu'en métaux communs")</f>
        <v xml:space="preserve">   Fermetures à glissière sans agrafes et autres qu'en métaux communs</v>
      </c>
      <c r="C10630">
        <v>108050</v>
      </c>
      <c r="D10630">
        <v>20</v>
      </c>
    </row>
    <row r="10631" spans="1:4" x14ac:dyDescent="0.25">
      <c r="A10631" t="str">
        <f>T("   960810")</f>
        <v xml:space="preserve">   960810</v>
      </c>
      <c r="B10631" t="str">
        <f>T("   Stylos et crayons à bille")</f>
        <v xml:space="preserve">   Stylos et crayons à bille</v>
      </c>
      <c r="C10631">
        <v>1296596</v>
      </c>
      <c r="D10631">
        <v>7280</v>
      </c>
    </row>
    <row r="10632" spans="1:4" x14ac:dyDescent="0.25">
      <c r="A10632" t="str">
        <f>T("   960920")</f>
        <v xml:space="preserve">   960920</v>
      </c>
      <c r="B10632" t="str">
        <f>T("   Mines pour crayons ou porte-mine")</f>
        <v xml:space="preserve">   Mines pour crayons ou porte-mine</v>
      </c>
      <c r="C10632">
        <v>291099</v>
      </c>
      <c r="D10632">
        <v>2250</v>
      </c>
    </row>
    <row r="10633" spans="1:4" x14ac:dyDescent="0.25">
      <c r="A10633" t="str">
        <f>T("   961519")</f>
        <v xml:space="preserve">   961519</v>
      </c>
      <c r="B10633" t="str">
        <f>T("   PEIGNÉS À COIFFER, PEIGNÉS DE COIFFURE, BARRETTES ET ARTICLES SIMIL., EN MATIÈRES (AUTRES QUE CAOUTCHOUC OU MATIÈRES PLASTIQUES)")</f>
        <v xml:space="preserve">   PEIGNÉS À COIFFER, PEIGNÉS DE COIFFURE, BARRETTES ET ARTICLES SIMIL., EN MATIÈRES (AUTRES QUE CAOUTCHOUC OU MATIÈRES PLASTIQUES)</v>
      </c>
      <c r="C10633">
        <v>298169</v>
      </c>
      <c r="D10633">
        <v>670</v>
      </c>
    </row>
    <row r="10634" spans="1:4" x14ac:dyDescent="0.25">
      <c r="A10634" t="str">
        <f>T("   961590")</f>
        <v xml:space="preserve">   961590</v>
      </c>
      <c r="B10634" t="str">
        <f>T("   Epingles à cheveux; pince-guiches, ondulateurs, bigoudis et articles pour la coiffure (autres que ceux du n° 8516); parties")</f>
        <v xml:space="preserve">   Epingles à cheveux; pince-guiches, ondulateurs, bigoudis et articles pour la coiffure (autres que ceux du n° 8516); parties</v>
      </c>
      <c r="C10634">
        <v>234949</v>
      </c>
      <c r="D10634">
        <v>1040</v>
      </c>
    </row>
    <row r="10635" spans="1:4" x14ac:dyDescent="0.25">
      <c r="A10635" t="str">
        <f>T("   961700")</f>
        <v xml:space="preserve">   961700</v>
      </c>
      <c r="B10635" t="str">
        <f>T("   Bouteilles isolantes et autres récipients isothermiques montés, dont l'isolation est assurée par le vide, ainsi que leurs parties (à l'excl. des ampoules en verre)")</f>
        <v xml:space="preserve">   Bouteilles isolantes et autres récipients isothermiques montés, dont l'isolation est assurée par le vide, ainsi que leurs parties (à l'excl. des ampoules en verre)</v>
      </c>
      <c r="C10635">
        <v>2765175</v>
      </c>
      <c r="D10635">
        <v>2587</v>
      </c>
    </row>
    <row r="10636" spans="1:4" x14ac:dyDescent="0.25">
      <c r="A10636" t="str">
        <f>T("   961800")</f>
        <v xml:space="preserve">   961800</v>
      </c>
      <c r="B10636" t="str">
        <f>T("   Mannequins et articles simil.; automates et scènes animées pour étalages (à l'excl. des modèles utilisés pour l'enseignement, des poupées présentant des caractères de jouet et des marchandises présentées sur ces mannequins)")</f>
        <v xml:space="preserve">   Mannequins et articles simil.; automates et scènes animées pour étalages (à l'excl. des modèles utilisés pour l'enseignement, des poupées présentant des caractères de jouet et des marchandises présentées sur ces mannequins)</v>
      </c>
      <c r="C10636">
        <v>959230</v>
      </c>
      <c r="D10636">
        <v>1140</v>
      </c>
    </row>
    <row r="10637" spans="1:4" x14ac:dyDescent="0.25">
      <c r="A10637" t="str">
        <f>T("TH")</f>
        <v>TH</v>
      </c>
      <c r="B10637" t="str">
        <f>T("Thaïlande")</f>
        <v>Thaïlande</v>
      </c>
    </row>
    <row r="10638" spans="1:4" x14ac:dyDescent="0.25">
      <c r="A10638" t="str">
        <f>T("   ZZ_Total_Produit_SH6")</f>
        <v xml:space="preserve">   ZZ_Total_Produit_SH6</v>
      </c>
      <c r="B10638" t="str">
        <f>T("   ZZ_Total_Produit_SH6")</f>
        <v xml:space="preserve">   ZZ_Total_Produit_SH6</v>
      </c>
      <c r="C10638">
        <v>93571256172.052002</v>
      </c>
      <c r="D10638">
        <v>401600536.60000002</v>
      </c>
    </row>
    <row r="10639" spans="1:4" x14ac:dyDescent="0.25">
      <c r="A10639" t="str">
        <f>T("   040210")</f>
        <v xml:space="preserve">   040210</v>
      </c>
      <c r="B10639" t="str">
        <f>T("   Lait et crème de lait, en poudre, en granulés ou sous d'autres formes solides, d'une teneur en poids de matières grasses &lt;= 1,5%")</f>
        <v xml:space="preserve">   Lait et crème de lait, en poudre, en granulés ou sous d'autres formes solides, d'une teneur en poids de matières grasses &lt;= 1,5%</v>
      </c>
      <c r="C10639">
        <v>32810007</v>
      </c>
      <c r="D10639">
        <v>72410</v>
      </c>
    </row>
    <row r="10640" spans="1:4" x14ac:dyDescent="0.25">
      <c r="A10640" t="str">
        <f>T("   040221")</f>
        <v xml:space="preserve">   040221</v>
      </c>
      <c r="B10640" t="str">
        <f>T("   Lait et crème de lait, en poudre, en granulés ou sous d'autres formes solides, d'une teneur en poids de matières grasses &gt; 1,5%, sans addition de sucre ou d'autres édulcorants")</f>
        <v xml:space="preserve">   Lait et crème de lait, en poudre, en granulés ou sous d'autres formes solides, d'une teneur en poids de matières grasses &gt; 1,5%, sans addition de sucre ou d'autres édulcorants</v>
      </c>
      <c r="C10640">
        <v>25000000</v>
      </c>
      <c r="D10640">
        <v>31060</v>
      </c>
    </row>
    <row r="10641" spans="1:4" x14ac:dyDescent="0.25">
      <c r="A10641" t="str">
        <f>T("   040390")</f>
        <v xml:space="preserve">   040390</v>
      </c>
      <c r="B10641" t="str">
        <f>T("   Babeurre, lait et crème caillés, képhir et autres laits et crèmes fermentés ou acidifiés, même concentrés ou additionnés de sucre ou d'autres édulcorants ou aromatisés ou additionnés de fruits ou de cacao (à l'excl. des yoghourts)")</f>
        <v xml:space="preserve">   Babeurre, lait et crème caillés, képhir et autres laits et crèmes fermentés ou acidifiés, même concentrés ou additionnés de sucre ou d'autres édulcorants ou aromatisés ou additionnés de fruits ou de cacao (à l'excl. des yoghourts)</v>
      </c>
      <c r="C10641">
        <v>643643</v>
      </c>
      <c r="D10641">
        <v>2284</v>
      </c>
    </row>
    <row r="10642" spans="1:4" x14ac:dyDescent="0.25">
      <c r="A10642" t="str">
        <f>T("   100610")</f>
        <v xml:space="preserve">   100610</v>
      </c>
      <c r="B10642" t="str">
        <f>T("   Riz en paille [riz paddy]")</f>
        <v xml:space="preserve">   Riz en paille [riz paddy]</v>
      </c>
      <c r="C10642">
        <v>25074071</v>
      </c>
      <c r="D10642">
        <v>250650</v>
      </c>
    </row>
    <row r="10643" spans="1:4" x14ac:dyDescent="0.25">
      <c r="A10643" t="str">
        <f>T("   100620")</f>
        <v xml:space="preserve">   100620</v>
      </c>
      <c r="B10643" t="str">
        <f>T("   Riz décortiqué [riz cargo ou riz brun]")</f>
        <v xml:space="preserve">   Riz décortiqué [riz cargo ou riz brun]</v>
      </c>
      <c r="C10643">
        <v>347122872.62300003</v>
      </c>
      <c r="D10643">
        <v>1313898</v>
      </c>
    </row>
    <row r="10644" spans="1:4" x14ac:dyDescent="0.25">
      <c r="A10644" t="str">
        <f>T("   100630")</f>
        <v xml:space="preserve">   100630</v>
      </c>
      <c r="B10644" t="str">
        <f>T("   Riz semi-blanchi ou blanchi, même poli ou glacé")</f>
        <v xml:space="preserve">   Riz semi-blanchi ou blanchi, même poli ou glacé</v>
      </c>
      <c r="C10644">
        <v>91177566013.173004</v>
      </c>
      <c r="D10644">
        <v>397040709</v>
      </c>
    </row>
    <row r="10645" spans="1:4" x14ac:dyDescent="0.25">
      <c r="A10645" t="str">
        <f>T("   100640")</f>
        <v xml:space="preserve">   100640</v>
      </c>
      <c r="B10645" t="str">
        <f>T("   Riz en brisures")</f>
        <v xml:space="preserve">   Riz en brisures</v>
      </c>
      <c r="C10645">
        <v>66711538</v>
      </c>
      <c r="D10645">
        <v>252076</v>
      </c>
    </row>
    <row r="10646" spans="1:4" x14ac:dyDescent="0.25">
      <c r="A10646" t="str">
        <f>T("   150790")</f>
        <v xml:space="preserve">   150790</v>
      </c>
      <c r="B10646" t="str">
        <f>T("   Huile de soja et ses fractions, même raffinées, mais non chimiquement modifiées (à l'excl. de l'huile de soja brute)")</f>
        <v xml:space="preserve">   Huile de soja et ses fractions, même raffinées, mais non chimiquement modifiées (à l'excl. de l'huile de soja brute)</v>
      </c>
      <c r="C10646">
        <v>433912</v>
      </c>
      <c r="D10646">
        <v>1540</v>
      </c>
    </row>
    <row r="10647" spans="1:4" x14ac:dyDescent="0.25">
      <c r="A10647" t="str">
        <f>T("   151190")</f>
        <v xml:space="preserve">   151190</v>
      </c>
      <c r="B10647" t="str">
        <f>T("   Huile de palme et ses fractions, même raffinées, mais non chimiquement modifiées (à l'excl. de l'huile de palme brute)")</f>
        <v xml:space="preserve">   Huile de palme et ses fractions, même raffinées, mais non chimiquement modifiées (à l'excl. de l'huile de palme brute)</v>
      </c>
      <c r="C10647">
        <v>66363755.196000002</v>
      </c>
      <c r="D10647">
        <v>220000</v>
      </c>
    </row>
    <row r="10648" spans="1:4" x14ac:dyDescent="0.25">
      <c r="A10648" t="str">
        <f>T("   151550")</f>
        <v xml:space="preserve">   151550</v>
      </c>
      <c r="B10648" t="str">
        <f>T("   Huile de sésame et ses fractions, même raffinées, mais non chimiquement modifiées")</f>
        <v xml:space="preserve">   Huile de sésame et ses fractions, même raffinées, mais non chimiquement modifiées</v>
      </c>
      <c r="C10648">
        <v>129596</v>
      </c>
      <c r="D10648">
        <v>520</v>
      </c>
    </row>
    <row r="10649" spans="1:4" x14ac:dyDescent="0.25">
      <c r="A10649" t="str">
        <f>T("   151710")</f>
        <v xml:space="preserve">   151710</v>
      </c>
      <c r="B10649" t="str">
        <f>T("   Margarine (à l'excl. de la margarine liquide)")</f>
        <v xml:space="preserve">   Margarine (à l'excl. de la margarine liquide)</v>
      </c>
      <c r="C10649">
        <v>15000000</v>
      </c>
      <c r="D10649">
        <v>92660</v>
      </c>
    </row>
    <row r="10650" spans="1:4" x14ac:dyDescent="0.25">
      <c r="A10650" t="str">
        <f>T("   170199")</f>
        <v xml:space="preserve">   170199</v>
      </c>
      <c r="B10650"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10650">
        <v>1684066.061</v>
      </c>
      <c r="D10650">
        <v>8000</v>
      </c>
    </row>
    <row r="10651" spans="1:4" x14ac:dyDescent="0.25">
      <c r="A10651" t="str">
        <f>T("   190190")</f>
        <v xml:space="preserve">   190190</v>
      </c>
      <c r="B10651" t="s">
        <v>49</v>
      </c>
      <c r="C10651">
        <v>7000000</v>
      </c>
      <c r="D10651">
        <v>25630</v>
      </c>
    </row>
    <row r="10652" spans="1:4" x14ac:dyDescent="0.25">
      <c r="A10652" t="str">
        <f>T("   190240")</f>
        <v xml:space="preserve">   190240</v>
      </c>
      <c r="B10652" t="str">
        <f>T("   Couscous, même préparé")</f>
        <v xml:space="preserve">   Couscous, même préparé</v>
      </c>
      <c r="C10652">
        <v>3000000</v>
      </c>
      <c r="D10652">
        <v>21430</v>
      </c>
    </row>
    <row r="10653" spans="1:4" x14ac:dyDescent="0.25">
      <c r="A10653" t="str">
        <f>T("   190300")</f>
        <v xml:space="preserve">   190300</v>
      </c>
      <c r="B10653" t="str">
        <f>T("   Tapioca et ses succédanés préparés à partir de fécules, sous forme de flocons, grumeaux, grains perlés, criblures ou formes simil.")</f>
        <v xml:space="preserve">   Tapioca et ses succédanés préparés à partir de fécules, sous forme de flocons, grumeaux, grains perlés, criblures ou formes simil.</v>
      </c>
      <c r="C10653">
        <v>403851</v>
      </c>
      <c r="D10653">
        <v>1521</v>
      </c>
    </row>
    <row r="10654" spans="1:4" x14ac:dyDescent="0.25">
      <c r="A10654" t="str">
        <f>T("   200919")</f>
        <v xml:space="preserve">   200919</v>
      </c>
      <c r="B10654" t="str">
        <f>T("   JUS D'ORANGE, NON-FERMENTÉS, SANS ADDITION D'ALCOOL, AVEC OU SANS ADDITION DE SUCRE OU D'AUTRES ÉDULCORANTS (À L'EXCL. DES JUS CONGELÉS ET DES JUS D'UNE VALEUR BRIX &lt;= 20 À 20°C)")</f>
        <v xml:space="preserve">   JUS D'ORANGE, NON-FERMENTÉS, SANS ADDITION D'ALCOOL, AVEC OU SANS ADDITION DE SUCRE OU D'AUTRES ÉDULCORANTS (À L'EXCL. DES JUS CONGELÉS ET DES JUS D'UNE VALEUR BRIX &lt;= 20 À 20°C)</v>
      </c>
      <c r="C10654">
        <v>992005</v>
      </c>
      <c r="D10654">
        <v>5702.4</v>
      </c>
    </row>
    <row r="10655" spans="1:4" x14ac:dyDescent="0.25">
      <c r="A10655" t="str">
        <f>T("   200949")</f>
        <v xml:space="preserve">   200949</v>
      </c>
      <c r="B10655" t="str">
        <f>T("   JUS D'ANANAS, NON-FERMENTÉS, SANS ADDITION D'ALCOOL, AVEC OU SANS ADDITION DE SUCRE OU D'AUTRES ÉDULCORANTS, D'UNE VALEUR BRIX &gt; 20 À 20°C")</f>
        <v xml:space="preserve">   JUS D'ANANAS, NON-FERMENTÉS, SANS ADDITION D'ALCOOL, AVEC OU SANS ADDITION DE SUCRE OU D'AUTRES ÉDULCORANTS, D'UNE VALEUR BRIX &gt; 20 À 20°C</v>
      </c>
      <c r="C10655">
        <v>301096</v>
      </c>
      <c r="D10655">
        <v>1728</v>
      </c>
    </row>
    <row r="10656" spans="1:4" x14ac:dyDescent="0.25">
      <c r="A10656" t="str">
        <f>T("   200980")</f>
        <v xml:space="preserve">   200980</v>
      </c>
      <c r="B10656"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10656">
        <v>752292</v>
      </c>
      <c r="D10656">
        <v>4320</v>
      </c>
    </row>
    <row r="10657" spans="1:4" x14ac:dyDescent="0.25">
      <c r="A10657" t="str">
        <f>T("   200990")</f>
        <v xml:space="preserve">   200990</v>
      </c>
      <c r="B10657"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10657">
        <v>2638599</v>
      </c>
      <c r="D10657">
        <v>12339</v>
      </c>
    </row>
    <row r="10658" spans="1:4" x14ac:dyDescent="0.25">
      <c r="A10658" t="str">
        <f>T("   210320")</f>
        <v xml:space="preserve">   210320</v>
      </c>
      <c r="B10658" t="str">
        <f>T("   Tomato ketchup et autres sauces tomates")</f>
        <v xml:space="preserve">   Tomato ketchup et autres sauces tomates</v>
      </c>
      <c r="C10658">
        <v>959840</v>
      </c>
      <c r="D10658">
        <v>3617</v>
      </c>
    </row>
    <row r="10659" spans="1:4" x14ac:dyDescent="0.25">
      <c r="A10659" t="str">
        <f>T("   210390")</f>
        <v xml:space="preserve">   210390</v>
      </c>
      <c r="B10659"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10659">
        <v>15000000</v>
      </c>
      <c r="D10659">
        <v>102980</v>
      </c>
    </row>
    <row r="10660" spans="1:4" x14ac:dyDescent="0.25">
      <c r="A10660" t="str">
        <f>T("   220290")</f>
        <v xml:space="preserve">   220290</v>
      </c>
      <c r="B10660" t="str">
        <f>T("   BOISSONS NON-ALCOOLIQUES (À L'EXCL. DES EAUX, DES JUS DE FRUITS OU DE LÉGUMES AINSI QUE DU LAIT)")</f>
        <v xml:space="preserve">   BOISSONS NON-ALCOOLIQUES (À L'EXCL. DES EAUX, DES JUS DE FRUITS OU DE LÉGUMES AINSI QUE DU LAIT)</v>
      </c>
      <c r="C10660">
        <v>18141193</v>
      </c>
      <c r="D10660">
        <v>77931</v>
      </c>
    </row>
    <row r="10661" spans="1:4" x14ac:dyDescent="0.25">
      <c r="A10661" t="str">
        <f>T("   282890")</f>
        <v xml:space="preserve">   282890</v>
      </c>
      <c r="B10661" t="str">
        <f>T("   Hypochlorites, chlorites et hypobromites (à l'excl. des hypochlorites de calcium)")</f>
        <v xml:space="preserve">   Hypochlorites, chlorites et hypobromites (à l'excl. des hypochlorites de calcium)</v>
      </c>
      <c r="C10661">
        <v>1701350</v>
      </c>
      <c r="D10661">
        <v>11452</v>
      </c>
    </row>
    <row r="10662" spans="1:4" x14ac:dyDescent="0.25">
      <c r="A10662" t="str">
        <f>T("   330499")</f>
        <v xml:space="preserve">   330499</v>
      </c>
      <c r="B10662" t="s">
        <v>101</v>
      </c>
      <c r="C10662">
        <v>14381</v>
      </c>
      <c r="D10662">
        <v>40</v>
      </c>
    </row>
    <row r="10663" spans="1:4" x14ac:dyDescent="0.25">
      <c r="A10663" t="str">
        <f>T("   330510")</f>
        <v xml:space="preserve">   330510</v>
      </c>
      <c r="B10663" t="str">
        <f>T("   Shampooings")</f>
        <v xml:space="preserve">   Shampooings</v>
      </c>
      <c r="C10663">
        <v>79700</v>
      </c>
      <c r="D10663">
        <v>319</v>
      </c>
    </row>
    <row r="10664" spans="1:4" x14ac:dyDescent="0.25">
      <c r="A10664" t="str">
        <f>T("   340119")</f>
        <v xml:space="preserve">   340119</v>
      </c>
      <c r="B10664" t="s">
        <v>103</v>
      </c>
      <c r="C10664">
        <v>2594086</v>
      </c>
      <c r="D10664">
        <v>4400</v>
      </c>
    </row>
    <row r="10665" spans="1:4" x14ac:dyDescent="0.25">
      <c r="A10665" t="str">
        <f>T("   340220")</f>
        <v xml:space="preserve">   340220</v>
      </c>
      <c r="B10665" t="s">
        <v>104</v>
      </c>
      <c r="C10665">
        <v>6410911</v>
      </c>
      <c r="D10665">
        <v>52061</v>
      </c>
    </row>
    <row r="10666" spans="1:4" x14ac:dyDescent="0.25">
      <c r="A10666" t="str">
        <f>T("   390120")</f>
        <v xml:space="preserve">   390120</v>
      </c>
      <c r="B10666" t="str">
        <f>T("   Polyéthylène d'une densité &gt;= 0,94, sous formes primaires")</f>
        <v xml:space="preserve">   Polyéthylène d'une densité &gt;= 0,94, sous formes primaires</v>
      </c>
      <c r="C10666">
        <v>43803716</v>
      </c>
      <c r="D10666">
        <v>54324</v>
      </c>
    </row>
    <row r="10667" spans="1:4" x14ac:dyDescent="0.25">
      <c r="A10667" t="str">
        <f>T("   391810")</f>
        <v xml:space="preserve">   391810</v>
      </c>
      <c r="B10667" t="s">
        <v>131</v>
      </c>
      <c r="C10667">
        <v>11000769</v>
      </c>
      <c r="D10667">
        <v>26970</v>
      </c>
    </row>
    <row r="10668" spans="1:4" x14ac:dyDescent="0.25">
      <c r="A10668" t="str">
        <f>T("   391890")</f>
        <v xml:space="preserve">   391890</v>
      </c>
      <c r="B10668" t="s">
        <v>132</v>
      </c>
      <c r="C10668">
        <v>3000000</v>
      </c>
      <c r="D10668">
        <v>24872</v>
      </c>
    </row>
    <row r="10669" spans="1:4" x14ac:dyDescent="0.25">
      <c r="A10669" t="str">
        <f>T("   392329")</f>
        <v xml:space="preserve">   392329</v>
      </c>
      <c r="B10669" t="str">
        <f>T("   Sacs, sachets, pochettes et cornets, en matières plastiques (autres que les polymères de l'éthylène)")</f>
        <v xml:space="preserve">   Sacs, sachets, pochettes et cornets, en matières plastiques (autres que les polymères de l'éthylène)</v>
      </c>
      <c r="C10669">
        <v>152589</v>
      </c>
      <c r="D10669">
        <v>132</v>
      </c>
    </row>
    <row r="10670" spans="1:4" x14ac:dyDescent="0.25">
      <c r="A10670" t="str">
        <f>T("   392410")</f>
        <v xml:space="preserve">   392410</v>
      </c>
      <c r="B10670" t="str">
        <f>T("   Vaisselle et autres articles pour le service de la table ou de la cuisine, en matières plastiques")</f>
        <v xml:space="preserve">   Vaisselle et autres articles pour le service de la table ou de la cuisine, en matières plastiques</v>
      </c>
      <c r="C10670">
        <v>948449</v>
      </c>
      <c r="D10670">
        <v>1455</v>
      </c>
    </row>
    <row r="10671" spans="1:4" x14ac:dyDescent="0.25">
      <c r="A10671" t="str">
        <f>T("   392490")</f>
        <v xml:space="preserve">   392490</v>
      </c>
      <c r="B10671" t="s">
        <v>151</v>
      </c>
      <c r="C10671">
        <v>70464</v>
      </c>
      <c r="D10671">
        <v>260</v>
      </c>
    </row>
    <row r="10672" spans="1:4" x14ac:dyDescent="0.25">
      <c r="A10672" t="str">
        <f>T("   392690")</f>
        <v xml:space="preserve">   392690</v>
      </c>
      <c r="B10672" t="str">
        <f>T("   Ouvrages en matières plastiques et ouvrages en autres matières du n° 3901 à 3914, n.d.a.")</f>
        <v xml:space="preserve">   Ouvrages en matières plastiques et ouvrages en autres matières du n° 3901 à 3914, n.d.a.</v>
      </c>
      <c r="C10672">
        <v>3716610</v>
      </c>
      <c r="D10672">
        <v>14046</v>
      </c>
    </row>
    <row r="10673" spans="1:4" x14ac:dyDescent="0.25">
      <c r="A10673" t="str">
        <f>T("   401410")</f>
        <v xml:space="preserve">   401410</v>
      </c>
      <c r="B10673" t="str">
        <f>T("   Préservatifs en caoutchouc vulcanisé non durci")</f>
        <v xml:space="preserve">   Préservatifs en caoutchouc vulcanisé non durci</v>
      </c>
      <c r="C10673">
        <v>46686773</v>
      </c>
      <c r="D10673">
        <v>13281</v>
      </c>
    </row>
    <row r="10674" spans="1:4" x14ac:dyDescent="0.25">
      <c r="A10674" t="str">
        <f>T("   420292")</f>
        <v xml:space="preserve">   420292</v>
      </c>
      <c r="B10674" t="s">
        <v>164</v>
      </c>
      <c r="C10674">
        <v>45000</v>
      </c>
      <c r="D10674">
        <v>800</v>
      </c>
    </row>
    <row r="10675" spans="1:4" x14ac:dyDescent="0.25">
      <c r="A10675" t="str">
        <f>T("   442010")</f>
        <v xml:space="preserve">   442010</v>
      </c>
      <c r="B10675" t="str">
        <f>T("   Statuettes et autres objets d'ornement, en bois (autres que marquetés ou incrustés)")</f>
        <v xml:space="preserve">   Statuettes et autres objets d'ornement, en bois (autres que marquetés ou incrustés)</v>
      </c>
      <c r="C10675">
        <v>32539</v>
      </c>
      <c r="D10675">
        <v>115</v>
      </c>
    </row>
    <row r="10676" spans="1:4" x14ac:dyDescent="0.25">
      <c r="A10676" t="str">
        <f>T("   480257")</f>
        <v xml:space="preserve">   480257</v>
      </c>
      <c r="B10676" t="s">
        <v>195</v>
      </c>
      <c r="C10676">
        <v>27435802</v>
      </c>
      <c r="D10676">
        <v>80964</v>
      </c>
    </row>
    <row r="10677" spans="1:4" x14ac:dyDescent="0.25">
      <c r="A10677" t="str">
        <f>T("   481830")</f>
        <v xml:space="preserve">   481830</v>
      </c>
      <c r="B10677" t="str">
        <f>T("   Nappes et serviettes de table, en pâte à papier, papier, ouate de cellulose ou nappes de fibres de cellulose")</f>
        <v xml:space="preserve">   Nappes et serviettes de table, en pâte à papier, papier, ouate de cellulose ou nappes de fibres de cellulose</v>
      </c>
      <c r="C10677">
        <v>757234</v>
      </c>
      <c r="D10677">
        <v>612</v>
      </c>
    </row>
    <row r="10678" spans="1:4" x14ac:dyDescent="0.25">
      <c r="A10678" t="str">
        <f>T("   490290")</f>
        <v xml:space="preserve">   490290</v>
      </c>
      <c r="B10678" t="str">
        <f>T("   Journaux et publications périodiques imprimés, même illustrés ou contenant de la publicité (à l'excl. des journaux et publications paraissant au moins quatre fois par semaine)")</f>
        <v xml:space="preserve">   Journaux et publications périodiques imprimés, même illustrés ou contenant de la publicité (à l'excl. des journaux et publications paraissant au moins quatre fois par semaine)</v>
      </c>
      <c r="C10678">
        <v>229586</v>
      </c>
      <c r="D10678">
        <v>200</v>
      </c>
    </row>
    <row r="10679" spans="1:4" x14ac:dyDescent="0.25">
      <c r="A10679" t="str">
        <f>T("   520852")</f>
        <v xml:space="preserve">   520852</v>
      </c>
      <c r="B10679" t="str">
        <f>T("   Tissus de coton, imprimés, à armure toile, contenant &gt;= 85% en poids de coton, d'un poids &gt; 100 g/m² mais &lt;= 200 g/m²")</f>
        <v xml:space="preserve">   Tissus de coton, imprimés, à armure toile, contenant &gt;= 85% en poids de coton, d'un poids &gt; 100 g/m² mais &lt;= 200 g/m²</v>
      </c>
      <c r="C10679">
        <v>594910327</v>
      </c>
      <c r="D10679">
        <v>635904</v>
      </c>
    </row>
    <row r="10680" spans="1:4" x14ac:dyDescent="0.25">
      <c r="A10680" t="str">
        <f>T("   521225")</f>
        <v xml:space="preserve">   521225</v>
      </c>
      <c r="B10680" t="str">
        <f>T("   Tissus de coton, imprimés, contenant en prédominance, mais &lt; 85% en poids de coton, autres que mélangés principalement ou uniquement avec des fibres synthétiques ou artificielles, d'un poids &gt; 200 g/m²")</f>
        <v xml:space="preserve">   Tissus de coton, imprimés, contenant en prédominance, mais &lt; 85% en poids de coton, autres que mélangés principalement ou uniquement avec des fibres synthétiques ou artificielles, d'un poids &gt; 200 g/m²</v>
      </c>
      <c r="C10680">
        <v>6450000</v>
      </c>
      <c r="D10680">
        <v>10560</v>
      </c>
    </row>
    <row r="10681" spans="1:4" x14ac:dyDescent="0.25">
      <c r="A10681" t="str">
        <f>T("   540794")</f>
        <v xml:space="preserve">   540794</v>
      </c>
      <c r="B10681" t="s">
        <v>231</v>
      </c>
      <c r="C10681">
        <v>30500201</v>
      </c>
      <c r="D10681">
        <v>13911</v>
      </c>
    </row>
    <row r="10682" spans="1:4" x14ac:dyDescent="0.25">
      <c r="A10682" t="str">
        <f>T("   551599")</f>
        <v xml:space="preserve">   551599</v>
      </c>
      <c r="B10682" t="s">
        <v>243</v>
      </c>
      <c r="C10682">
        <v>980000</v>
      </c>
      <c r="D10682">
        <v>498</v>
      </c>
    </row>
    <row r="10683" spans="1:4" x14ac:dyDescent="0.25">
      <c r="A10683" t="str">
        <f>T("   560121")</f>
        <v xml:space="preserve">   560121</v>
      </c>
      <c r="B10683" t="s">
        <v>244</v>
      </c>
      <c r="C10683">
        <v>542656</v>
      </c>
      <c r="D10683">
        <v>316</v>
      </c>
    </row>
    <row r="10684" spans="1:4" x14ac:dyDescent="0.25">
      <c r="A10684" t="str">
        <f>T("   570239")</f>
        <v xml:space="preserve">   570239</v>
      </c>
      <c r="B10684" t="s">
        <v>249</v>
      </c>
      <c r="C10684">
        <v>2610000</v>
      </c>
      <c r="D10684">
        <v>26970</v>
      </c>
    </row>
    <row r="10685" spans="1:4" x14ac:dyDescent="0.25">
      <c r="A10685" t="str">
        <f>T("   570249")</f>
        <v xml:space="preserve">   570249</v>
      </c>
      <c r="B10685" t="s">
        <v>250</v>
      </c>
      <c r="C10685">
        <v>3935000</v>
      </c>
      <c r="D10685">
        <v>27492</v>
      </c>
    </row>
    <row r="10686" spans="1:4" x14ac:dyDescent="0.25">
      <c r="A10686" t="str">
        <f>T("   570490")</f>
        <v xml:space="preserve">   570490</v>
      </c>
      <c r="B10686" t="str">
        <f>T("   TAPIS ET AUTRES REVÊTEMENTS DE SOL, EN FEUTRE, NON TOUFFETÉS NI FLOQUÉS, MÊME CONFECTIONNÉS (À L'EXCL. DES CARREAUX D'UNE SUPERFICIE &lt;= 0,3 M¦)")</f>
        <v xml:space="preserve">   TAPIS ET AUTRES REVÊTEMENTS DE SOL, EN FEUTRE, NON TOUFFETÉS NI FLOQUÉS, MÊME CONFECTIONNÉS (À L'EXCL. DES CARREAUX D'UNE SUPERFICIE &lt;= 0,3 M¦)</v>
      </c>
      <c r="C10686">
        <v>3935000</v>
      </c>
      <c r="D10686">
        <v>25292</v>
      </c>
    </row>
    <row r="10687" spans="1:4" x14ac:dyDescent="0.25">
      <c r="A10687" t="str">
        <f>T("   581099")</f>
        <v xml:space="preserve">   581099</v>
      </c>
      <c r="B10687" t="str">
        <f>T("   Broderies de matières textiles, sur support de matières textiles, en pièces, en bandes ou en motifs (à l'excl. des broderies en coton ou en fibres synthétiques ou artificielles, des broderies chimiques ou aériennes et des broderies à fond découpé)")</f>
        <v xml:space="preserve">   Broderies de matières textiles, sur support de matières textiles, en pièces, en bandes ou en motifs (à l'excl. des broderies en coton ou en fibres synthétiques ou artificielles, des broderies chimiques ou aériennes et des broderies à fond découpé)</v>
      </c>
      <c r="C10687">
        <v>872427</v>
      </c>
      <c r="D10687">
        <v>320</v>
      </c>
    </row>
    <row r="10688" spans="1:4" x14ac:dyDescent="0.25">
      <c r="A10688" t="str">
        <f>T("   610590")</f>
        <v xml:space="preserve">   610590</v>
      </c>
      <c r="B10688" t="str">
        <f>T("   Chemises et chemisettes, en bonneterie, de matières textiles, pour hommes ou garçonnets (sauf de coton, fibres synthétiques ou artificielles et sauf chemises de nuit, T-shirts et maillots de corps)")</f>
        <v xml:space="preserve">   Chemises et chemisettes, en bonneterie, de matières textiles, pour hommes ou garçonnets (sauf de coton, fibres synthétiques ou artificielles et sauf chemises de nuit, T-shirts et maillots de corps)</v>
      </c>
      <c r="C10688">
        <v>120000</v>
      </c>
      <c r="D10688">
        <v>505</v>
      </c>
    </row>
    <row r="10689" spans="1:4" x14ac:dyDescent="0.25">
      <c r="A10689" t="str">
        <f>T("   610910")</f>
        <v xml:space="preserve">   610910</v>
      </c>
      <c r="B10689" t="str">
        <f>T("   T-shirts et maillots de corps, en bonneterie, de coton,")</f>
        <v xml:space="preserve">   T-shirts et maillots de corps, en bonneterie, de coton,</v>
      </c>
      <c r="C10689">
        <v>7257359</v>
      </c>
      <c r="D10689">
        <v>4756</v>
      </c>
    </row>
    <row r="10690" spans="1:4" x14ac:dyDescent="0.25">
      <c r="A10690" t="str">
        <f>T("   610990")</f>
        <v xml:space="preserve">   610990</v>
      </c>
      <c r="B10690" t="str">
        <f>T("   T-shirts et maillots de corps, en bonneterie, de matières textiles (sauf de coton)")</f>
        <v xml:space="preserve">   T-shirts et maillots de corps, en bonneterie, de matières textiles (sauf de coton)</v>
      </c>
      <c r="C10690">
        <v>7353229</v>
      </c>
      <c r="D10690">
        <v>12046</v>
      </c>
    </row>
    <row r="10691" spans="1:4" x14ac:dyDescent="0.25">
      <c r="A10691" t="str">
        <f>T("   611190")</f>
        <v xml:space="preserve">   611190</v>
      </c>
      <c r="B10691" t="str">
        <f>T("   VÊTEMENTS ET ACCESSOIRES DU VÊTEMENT, EN BONNETERIE, DE MATIÈRES TEXTILES, POUR BÉBÉS (SAUF DE COTON, FIBRES SYNTHÉTIQUES ET SAUF BONNETS)")</f>
        <v xml:space="preserve">   VÊTEMENTS ET ACCESSOIRES DU VÊTEMENT, EN BONNETERIE, DE MATIÈRES TEXTILES, POUR BÉBÉS (SAUF DE COTON, FIBRES SYNTHÉTIQUES ET SAUF BONNETS)</v>
      </c>
      <c r="C10691">
        <v>14617300</v>
      </c>
      <c r="D10691">
        <v>19565</v>
      </c>
    </row>
    <row r="10692" spans="1:4" x14ac:dyDescent="0.25">
      <c r="A10692" t="str">
        <f>T("   611300")</f>
        <v xml:space="preserve">   611300</v>
      </c>
      <c r="B10692" t="str">
        <f>T("   Vêtements confectionnés en étoffes de bonneterie caoutchoutées ou imprégnées, enduites ou recouvertes de matière plastique ou d'autres substances (sauf vêtements pour bébés et accessoires du vêtement)")</f>
        <v xml:space="preserve">   Vêtements confectionnés en étoffes de bonneterie caoutchoutées ou imprégnées, enduites ou recouvertes de matière plastique ou d'autres substances (sauf vêtements pour bébés et accessoires du vêtement)</v>
      </c>
      <c r="C10692">
        <v>126358</v>
      </c>
      <c r="D10692">
        <v>507</v>
      </c>
    </row>
    <row r="10693" spans="1:4" x14ac:dyDescent="0.25">
      <c r="A10693" t="str">
        <f>T("   620349")</f>
        <v xml:space="preserve">   620349</v>
      </c>
      <c r="B10693" t="s">
        <v>266</v>
      </c>
      <c r="C10693">
        <v>51770</v>
      </c>
      <c r="D10693">
        <v>25</v>
      </c>
    </row>
    <row r="10694" spans="1:4" x14ac:dyDescent="0.25">
      <c r="A10694" t="str">
        <f>T("   620990")</f>
        <v xml:space="preserve">   620990</v>
      </c>
      <c r="B10694" t="str">
        <f>T("   VÊTEMENTS ET ACCESSOIRES DU VÊTEMENT, DE MATIÈRES TEXTILES, POUR BÉBÉS (AUTRES QUE DE COTON, FIBRES SYNTHÉTIQUES, AUTRES QU'EN BONNETERIE ET SAUF BONNETS)")</f>
        <v xml:space="preserve">   VÊTEMENTS ET ACCESSOIRES DU VÊTEMENT, DE MATIÈRES TEXTILES, POUR BÉBÉS (AUTRES QUE DE COTON, FIBRES SYNTHÉTIQUES, AUTRES QU'EN BONNETERIE ET SAUF BONNETS)</v>
      </c>
      <c r="C10694">
        <v>189343</v>
      </c>
      <c r="D10694">
        <v>92</v>
      </c>
    </row>
    <row r="10695" spans="1:4" x14ac:dyDescent="0.25">
      <c r="A10695" t="str">
        <f>T("   630510")</f>
        <v xml:space="preserve">   630510</v>
      </c>
      <c r="B10695" t="str">
        <f>T("   Sacs et sachets d'emballage de jute ou d'autres fibres textiles libériennes du n° 5303")</f>
        <v xml:space="preserve">   Sacs et sachets d'emballage de jute ou d'autres fibres textiles libériennes du n° 5303</v>
      </c>
      <c r="C10695">
        <v>331917</v>
      </c>
      <c r="D10695">
        <v>3022</v>
      </c>
    </row>
    <row r="10696" spans="1:4" x14ac:dyDescent="0.25">
      <c r="A10696" t="str">
        <f>T("   630532")</f>
        <v xml:space="preserve">   630532</v>
      </c>
      <c r="B10696" t="str">
        <f>T("   Contenants souples d'emballage pour matières en vrac, de matières textiles synthétiques ou artificielles")</f>
        <v xml:space="preserve">   Contenants souples d'emballage pour matières en vrac, de matières textiles synthétiques ou artificielles</v>
      </c>
      <c r="C10696">
        <v>2334787</v>
      </c>
      <c r="D10696">
        <v>47981</v>
      </c>
    </row>
    <row r="10697" spans="1:4" x14ac:dyDescent="0.25">
      <c r="A10697" t="str">
        <f>T("   630533")</f>
        <v xml:space="preserve">   630533</v>
      </c>
      <c r="B10697" t="str">
        <f>T("   Sacs et sachets d'emballage obtenus à partir de lames ou formes simil., de polyéthylène ou polypropylène (à l'excl. des contenants souples pour matières en vrac)")</f>
        <v xml:space="preserve">   Sacs et sachets d'emballage obtenus à partir de lames ou formes simil., de polyéthylène ou polypropylène (à l'excl. des contenants souples pour matières en vrac)</v>
      </c>
      <c r="C10697">
        <v>5790331</v>
      </c>
      <c r="D10697">
        <v>135175.20000000001</v>
      </c>
    </row>
    <row r="10698" spans="1:4" x14ac:dyDescent="0.25">
      <c r="A10698" t="str">
        <f>T("   630539")</f>
        <v xml:space="preserve">   630539</v>
      </c>
      <c r="B10698" t="str">
        <f>T("   Sacs et sachets d'emballage de matières synthétiques ou artificielles (autres qu'en lames ou formes simil. de polyéthylène ou de polypropylène ainsi que contenants souples pour matières en vrac)")</f>
        <v xml:space="preserve">   Sacs et sachets d'emballage de matières synthétiques ou artificielles (autres qu'en lames ou formes simil. de polyéthylène ou de polypropylène ainsi que contenants souples pour matières en vrac)</v>
      </c>
      <c r="C10698">
        <v>376867</v>
      </c>
      <c r="D10698">
        <v>5220</v>
      </c>
    </row>
    <row r="10699" spans="1:4" x14ac:dyDescent="0.25">
      <c r="A10699" t="str">
        <f>T("   630590")</f>
        <v xml:space="preserve">   630590</v>
      </c>
      <c r="B10699" t="str">
        <f>T("   Sacs et sachets d'emballage de matières textiles (autres qu'en matières textiles synthétiques ou artificielles, coton, jute ou autres fibres textiles libérienne du n° 5303)")</f>
        <v xml:space="preserve">   Sacs et sachets d'emballage de matières textiles (autres qu'en matières textiles synthétiques ou artificielles, coton, jute ou autres fibres textiles libérienne du n° 5303)</v>
      </c>
      <c r="C10699">
        <v>4571286</v>
      </c>
      <c r="D10699">
        <v>44800</v>
      </c>
    </row>
    <row r="10700" spans="1:4" x14ac:dyDescent="0.25">
      <c r="A10700" t="str">
        <f>T("   630710")</f>
        <v xml:space="preserve">   630710</v>
      </c>
      <c r="B10700" t="str">
        <f>T("   Serpillières ou wassingues, lavettes, chamoisettes et articles d'entretien simil. en tous types de matières textiles")</f>
        <v xml:space="preserve">   Serpillières ou wassingues, lavettes, chamoisettes et articles d'entretien simil. en tous types de matières textiles</v>
      </c>
      <c r="C10700">
        <v>340752</v>
      </c>
      <c r="D10700">
        <v>295</v>
      </c>
    </row>
    <row r="10701" spans="1:4" x14ac:dyDescent="0.25">
      <c r="A10701" t="str">
        <f>T("   640199")</f>
        <v xml:space="preserve">   640199</v>
      </c>
      <c r="B10701" t="s">
        <v>279</v>
      </c>
      <c r="C10701">
        <v>840000</v>
      </c>
      <c r="D10701">
        <v>660</v>
      </c>
    </row>
    <row r="10702" spans="1:4" x14ac:dyDescent="0.25">
      <c r="A10702" t="str">
        <f>T("   640419")</f>
        <v xml:space="preserve">   640419</v>
      </c>
      <c r="B10702" t="s">
        <v>288</v>
      </c>
      <c r="C10702">
        <v>334540</v>
      </c>
      <c r="D10702">
        <v>85</v>
      </c>
    </row>
    <row r="10703" spans="1:4" x14ac:dyDescent="0.25">
      <c r="A10703" t="str">
        <f>T("   691200")</f>
        <v xml:space="preserve">   691200</v>
      </c>
      <c r="B10703" t="s">
        <v>316</v>
      </c>
      <c r="C10703">
        <v>292247</v>
      </c>
      <c r="D10703">
        <v>1173</v>
      </c>
    </row>
    <row r="10704" spans="1:4" x14ac:dyDescent="0.25">
      <c r="A10704" t="str">
        <f>T("   730820")</f>
        <v xml:space="preserve">   730820</v>
      </c>
      <c r="B10704" t="str">
        <f>T("   Tours et pylônes, en fer ou en acier")</f>
        <v xml:space="preserve">   Tours et pylônes, en fer ou en acier</v>
      </c>
      <c r="C10704">
        <v>217888064</v>
      </c>
      <c r="D10704">
        <v>230292</v>
      </c>
    </row>
    <row r="10705" spans="1:4" x14ac:dyDescent="0.25">
      <c r="A10705" t="str">
        <f>T("   730890")</f>
        <v xml:space="preserve">   730890</v>
      </c>
      <c r="B10705" t="s">
        <v>355</v>
      </c>
      <c r="C10705">
        <v>168954577</v>
      </c>
      <c r="D10705">
        <v>153516</v>
      </c>
    </row>
    <row r="10706" spans="1:4" x14ac:dyDescent="0.25">
      <c r="A10706" t="str">
        <f>T("   731100")</f>
        <v xml:space="preserve">   731100</v>
      </c>
      <c r="B10706" t="str">
        <f>T("   Récipients en fonte, fer ou acier, pour gaz comprimés ou liquéfiés (autres que conteneurs spécialement conçus ou équipés pour un ou plusieurs moyens de transport)")</f>
        <v xml:space="preserve">   Récipients en fonte, fer ou acier, pour gaz comprimés ou liquéfiés (autres que conteneurs spécialement conçus ou équipés pour un ou plusieurs moyens de transport)</v>
      </c>
      <c r="C10706">
        <v>345358666</v>
      </c>
      <c r="D10706">
        <v>270726</v>
      </c>
    </row>
    <row r="10707" spans="1:4" x14ac:dyDescent="0.25">
      <c r="A10707" t="str">
        <f>T("   732111")</f>
        <v xml:space="preserve">   732111</v>
      </c>
      <c r="B10707" t="s">
        <v>361</v>
      </c>
      <c r="C10707">
        <v>180792</v>
      </c>
      <c r="D10707">
        <v>642</v>
      </c>
    </row>
    <row r="10708" spans="1:4" x14ac:dyDescent="0.25">
      <c r="A10708" t="str">
        <f>T("   732393")</f>
        <v xml:space="preserve">   732393</v>
      </c>
      <c r="B10708" t="s">
        <v>366</v>
      </c>
      <c r="C10708">
        <v>8528</v>
      </c>
      <c r="D10708">
        <v>50</v>
      </c>
    </row>
    <row r="10709" spans="1:4" x14ac:dyDescent="0.25">
      <c r="A10709" t="str">
        <f>T("   761699")</f>
        <v xml:space="preserve">   761699</v>
      </c>
      <c r="B10709" t="str">
        <f>T("   Ouvrages en aluminium, n.d.a.")</f>
        <v xml:space="preserve">   Ouvrages en aluminium, n.d.a.</v>
      </c>
      <c r="C10709">
        <v>183111</v>
      </c>
      <c r="D10709">
        <v>164</v>
      </c>
    </row>
    <row r="10710" spans="1:4" x14ac:dyDescent="0.25">
      <c r="A10710" t="str">
        <f>T("   841381")</f>
        <v xml:space="preserve">   841381</v>
      </c>
      <c r="B10710" t="s">
        <v>397</v>
      </c>
      <c r="C10710">
        <v>97197</v>
      </c>
      <c r="D10710">
        <v>390</v>
      </c>
    </row>
    <row r="10711" spans="1:4" x14ac:dyDescent="0.25">
      <c r="A10711" t="str">
        <f>T("   845019")</f>
        <v xml:space="preserve">   845019</v>
      </c>
      <c r="B10711" t="str">
        <f>T("   Machines à laver le linge d'une capacité unitaire exprimée en poids de linge sec &lt;= 6 kg (à l'excl. des machines entièrement automatiques et des machines à laver le linge avec essoreuse centrifuge incorporée)")</f>
        <v xml:space="preserve">   Machines à laver le linge d'une capacité unitaire exprimée en poids de linge sec &lt;= 6 kg (à l'excl. des machines entièrement automatiques et des machines à laver le linge avec essoreuse centrifuge incorporée)</v>
      </c>
      <c r="C10711">
        <v>73758</v>
      </c>
      <c r="D10711">
        <v>262</v>
      </c>
    </row>
    <row r="10712" spans="1:4" x14ac:dyDescent="0.25">
      <c r="A10712" t="str">
        <f>T("   851711")</f>
        <v xml:space="preserve">   851711</v>
      </c>
      <c r="B10712" t="str">
        <f>T("   Postes téléphoniques d'usagers pour la téléphonie par fil à combinés sans fil")</f>
        <v xml:space="preserve">   Postes téléphoniques d'usagers pour la téléphonie par fil à combinés sans fil</v>
      </c>
      <c r="C10712">
        <v>71029125</v>
      </c>
      <c r="D10712">
        <v>71817</v>
      </c>
    </row>
    <row r="10713" spans="1:4" x14ac:dyDescent="0.25">
      <c r="A10713" t="str">
        <f>T("   852813")</f>
        <v xml:space="preserve">   852813</v>
      </c>
      <c r="B10713" t="str">
        <f>T("   Appareils récepteurs pour la télévision en noir et blanc ou en autres monochromes, même incorporant un appareil récepteur de radiodiffusion ou un appareil d'enregistrement ou de reproduction du son ou des images")</f>
        <v xml:space="preserve">   Appareils récepteurs pour la télévision en noir et blanc ou en autres monochromes, même incorporant un appareil récepteur de radiodiffusion ou un appareil d'enregistrement ou de reproduction du son ou des images</v>
      </c>
      <c r="C10713">
        <v>167773</v>
      </c>
      <c r="D10713">
        <v>81</v>
      </c>
    </row>
    <row r="10714" spans="1:4" x14ac:dyDescent="0.25">
      <c r="A10714" t="str">
        <f>T("   853939")</f>
        <v xml:space="preserve">   853939</v>
      </c>
      <c r="B10714" t="str">
        <f>T("   Lampes et tubes à décharge (autres que fluorescents, à cathode chaude, à vapeur de mercure ou de sodium, à halogénure métallique et qu'à rayons ultraviolets)")</f>
        <v xml:space="preserve">   Lampes et tubes à décharge (autres que fluorescents, à cathode chaude, à vapeur de mercure ou de sodium, à halogénure métallique et qu'à rayons ultraviolets)</v>
      </c>
      <c r="C10714">
        <v>65087</v>
      </c>
      <c r="D10714">
        <v>231</v>
      </c>
    </row>
    <row r="10715" spans="1:4" x14ac:dyDescent="0.25">
      <c r="A10715" t="str">
        <f>T("   870322")</f>
        <v xml:space="preserve">   870322</v>
      </c>
      <c r="B10715" t="s">
        <v>480</v>
      </c>
      <c r="C10715">
        <v>59199478</v>
      </c>
      <c r="D10715">
        <v>13320</v>
      </c>
    </row>
    <row r="10716" spans="1:4" x14ac:dyDescent="0.25">
      <c r="A10716" t="str">
        <f>T("   870323")</f>
        <v xml:space="preserve">   870323</v>
      </c>
      <c r="B10716" t="s">
        <v>481</v>
      </c>
      <c r="C10716">
        <v>55503458</v>
      </c>
      <c r="D10716">
        <v>11379</v>
      </c>
    </row>
    <row r="10717" spans="1:4" x14ac:dyDescent="0.25">
      <c r="A10717" t="str">
        <f>T("   871500")</f>
        <v xml:space="preserve">   871500</v>
      </c>
      <c r="B10717" t="str">
        <f>T("   Landaus, poussettes et voitures simil., pour le transport des enfants, et leurs parties, n.d.a.")</f>
        <v xml:space="preserve">   Landaus, poussettes et voitures simil., pour le transport des enfants, et leurs parties, n.d.a.</v>
      </c>
      <c r="C10717">
        <v>155462</v>
      </c>
      <c r="D10717">
        <v>274</v>
      </c>
    </row>
    <row r="10718" spans="1:4" x14ac:dyDescent="0.25">
      <c r="A10718" t="str">
        <f>T("   901839")</f>
        <v xml:space="preserve">   901839</v>
      </c>
      <c r="B10718" t="str">
        <f>T("   AIGUILLES, CTHEÉTERS, CANULES ET SIMIL. POUR LA MÉDECINE (SAUF SERINGUES, AIGUILLES TUBULAIRES EN MÉTAL ET AIGUILLES À SUTURES)")</f>
        <v xml:space="preserve">   AIGUILLES, CTHEÉTERS, CANULES ET SIMIL. POUR LA MÉDECINE (SAUF SERINGUES, AIGUILLES TUBULAIRES EN MÉTAL ET AIGUILLES À SUTURES)</v>
      </c>
      <c r="C10718">
        <v>5101497</v>
      </c>
      <c r="D10718">
        <v>105</v>
      </c>
    </row>
    <row r="10719" spans="1:4" x14ac:dyDescent="0.25">
      <c r="A10719" t="str">
        <f>T("   960310")</f>
        <v xml:space="preserve">   960310</v>
      </c>
      <c r="B10719" t="str">
        <f>T("   Balais et balayettes consistant en matières végétales en bottes liées")</f>
        <v xml:space="preserve">   Balais et balayettes consistant en matières végétales en bottes liées</v>
      </c>
      <c r="C10719">
        <v>1217593</v>
      </c>
      <c r="D10719">
        <v>809</v>
      </c>
    </row>
    <row r="10720" spans="1:4" x14ac:dyDescent="0.25">
      <c r="A10720" t="str">
        <f>T("TK")</f>
        <v>TK</v>
      </c>
      <c r="B10720" t="str">
        <f>T("Tokelau")</f>
        <v>Tokelau</v>
      </c>
    </row>
    <row r="10721" spans="1:4" x14ac:dyDescent="0.25">
      <c r="A10721" t="str">
        <f>T("   ZZ_Total_Produit_SH6")</f>
        <v xml:space="preserve">   ZZ_Total_Produit_SH6</v>
      </c>
      <c r="B10721" t="str">
        <f>T("   ZZ_Total_Produit_SH6")</f>
        <v xml:space="preserve">   ZZ_Total_Produit_SH6</v>
      </c>
      <c r="C10721">
        <v>121627</v>
      </c>
      <c r="D10721">
        <v>20</v>
      </c>
    </row>
    <row r="10722" spans="1:4" x14ac:dyDescent="0.25">
      <c r="A10722" t="str">
        <f>T("   300490")</f>
        <v xml:space="preserve">   300490</v>
      </c>
      <c r="B10722" t="s">
        <v>80</v>
      </c>
      <c r="C10722">
        <v>121627</v>
      </c>
      <c r="D10722">
        <v>20</v>
      </c>
    </row>
    <row r="10723" spans="1:4" x14ac:dyDescent="0.25">
      <c r="A10723" t="str">
        <f>T("TN")</f>
        <v>TN</v>
      </c>
      <c r="B10723" t="str">
        <f>T("Tunisie")</f>
        <v>Tunisie</v>
      </c>
    </row>
    <row r="10724" spans="1:4" x14ac:dyDescent="0.25">
      <c r="A10724" t="str">
        <f>T("   ZZ_Total_Produit_SH6")</f>
        <v xml:space="preserve">   ZZ_Total_Produit_SH6</v>
      </c>
      <c r="B10724" t="str">
        <f>T("   ZZ_Total_Produit_SH6")</f>
        <v xml:space="preserve">   ZZ_Total_Produit_SH6</v>
      </c>
      <c r="C10724">
        <v>2267375896.7639999</v>
      </c>
      <c r="D10724">
        <v>8697712.8000000007</v>
      </c>
    </row>
    <row r="10725" spans="1:4" x14ac:dyDescent="0.25">
      <c r="A10725" t="str">
        <f>T("   020727")</f>
        <v xml:space="preserve">   020727</v>
      </c>
      <c r="B10725" t="str">
        <f>T("   Morceaux et abats comestibles de dindes et dindons [des espèces domestiques], congelés")</f>
        <v xml:space="preserve">   Morceaux et abats comestibles de dindes et dindons [des espèces domestiques], congelés</v>
      </c>
      <c r="C10725">
        <v>31806189</v>
      </c>
      <c r="D10725">
        <v>53000</v>
      </c>
    </row>
    <row r="10726" spans="1:4" x14ac:dyDescent="0.25">
      <c r="A10726" t="str">
        <f>T("   110100")</f>
        <v xml:space="preserve">   110100</v>
      </c>
      <c r="B10726" t="str">
        <f>T("   Farines de froment [blé] ou de méteil")</f>
        <v xml:space="preserve">   Farines de froment [blé] ou de méteil</v>
      </c>
      <c r="C10726">
        <v>108571183.764</v>
      </c>
      <c r="D10726">
        <v>395990</v>
      </c>
    </row>
    <row r="10727" spans="1:4" x14ac:dyDescent="0.25">
      <c r="A10727" t="str">
        <f>T("   150710")</f>
        <v xml:space="preserve">   150710</v>
      </c>
      <c r="B10727" t="str">
        <f>T("   Huile de soja, brute, même dégommée")</f>
        <v xml:space="preserve">   Huile de soja, brute, même dégommée</v>
      </c>
      <c r="C10727">
        <v>71903</v>
      </c>
      <c r="D10727">
        <v>175</v>
      </c>
    </row>
    <row r="10728" spans="1:4" x14ac:dyDescent="0.25">
      <c r="A10728" t="str">
        <f>T("   151710")</f>
        <v xml:space="preserve">   151710</v>
      </c>
      <c r="B10728" t="str">
        <f>T("   Margarine (à l'excl. de la margarine liquide)")</f>
        <v xml:space="preserve">   Margarine (à l'excl. de la margarine liquide)</v>
      </c>
      <c r="C10728">
        <v>17728420</v>
      </c>
      <c r="D10728">
        <v>69964</v>
      </c>
    </row>
    <row r="10729" spans="1:4" x14ac:dyDescent="0.25">
      <c r="A10729" t="str">
        <f>T("   170199")</f>
        <v xml:space="preserve">   170199</v>
      </c>
      <c r="B10729"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10729">
        <v>648479455</v>
      </c>
      <c r="D10729">
        <v>2850000</v>
      </c>
    </row>
    <row r="10730" spans="1:4" x14ac:dyDescent="0.25">
      <c r="A10730" t="str">
        <f>T("   190219")</f>
        <v xml:space="preserve">   190219</v>
      </c>
      <c r="B10730" t="str">
        <f>T("   PÂTES ALIMENTAIRES NON-CUITES NI FARCIES NI AUTREMENT PRÉPARÉES, NE CONTENANT PAS D'OEUFS")</f>
        <v xml:space="preserve">   PÂTES ALIMENTAIRES NON-CUITES NI FARCIES NI AUTREMENT PRÉPARÉES, NE CONTENANT PAS D'OEUFS</v>
      </c>
      <c r="C10730">
        <v>18717136</v>
      </c>
      <c r="D10730">
        <v>66242</v>
      </c>
    </row>
    <row r="10731" spans="1:4" x14ac:dyDescent="0.25">
      <c r="A10731" t="str">
        <f>T("   190220")</f>
        <v xml:space="preserve">   190220</v>
      </c>
      <c r="B10731" t="str">
        <f>T("   Pâtes alimentaires, farcies de viande ou d'autres substances, même cuites ou autrement préparées")</f>
        <v xml:space="preserve">   Pâtes alimentaires, farcies de viande ou d'autres substances, même cuites ou autrement préparées</v>
      </c>
      <c r="C10731">
        <v>4321989</v>
      </c>
      <c r="D10731">
        <v>25000</v>
      </c>
    </row>
    <row r="10732" spans="1:4" x14ac:dyDescent="0.25">
      <c r="A10732" t="str">
        <f>T("   190230")</f>
        <v xml:space="preserve">   190230</v>
      </c>
      <c r="B10732" t="str">
        <f>T("   Pâtes alimentaires, cuites ou autrement préparées (à l'excl. des pâtes alimentaires farcies)")</f>
        <v xml:space="preserve">   Pâtes alimentaires, cuites ou autrement préparées (à l'excl. des pâtes alimentaires farcies)</v>
      </c>
      <c r="C10732">
        <v>218310048</v>
      </c>
      <c r="D10732">
        <v>1026498</v>
      </c>
    </row>
    <row r="10733" spans="1:4" x14ac:dyDescent="0.25">
      <c r="A10733" t="str">
        <f>T("   190240")</f>
        <v xml:space="preserve">   190240</v>
      </c>
      <c r="B10733" t="str">
        <f>T("   Couscous, même préparé")</f>
        <v xml:space="preserve">   Couscous, même préparé</v>
      </c>
      <c r="C10733">
        <v>43642053</v>
      </c>
      <c r="D10733">
        <v>179141</v>
      </c>
    </row>
    <row r="10734" spans="1:4" x14ac:dyDescent="0.25">
      <c r="A10734" t="str">
        <f>T("   190590")</f>
        <v xml:space="preserve">   190590</v>
      </c>
      <c r="B10734" t="s">
        <v>51</v>
      </c>
      <c r="C10734">
        <v>16690679</v>
      </c>
      <c r="D10734">
        <v>62589</v>
      </c>
    </row>
    <row r="10735" spans="1:4" x14ac:dyDescent="0.25">
      <c r="A10735" t="str">
        <f>T("   210690")</f>
        <v xml:space="preserve">   210690</v>
      </c>
      <c r="B10735" t="str">
        <f>T("   Préparations alimentaires, n.d.a.")</f>
        <v xml:space="preserve">   Préparations alimentaires, n.d.a.</v>
      </c>
      <c r="C10735">
        <v>5722339</v>
      </c>
      <c r="D10735">
        <v>9480</v>
      </c>
    </row>
    <row r="10736" spans="1:4" x14ac:dyDescent="0.25">
      <c r="A10736" t="str">
        <f>T("   220110")</f>
        <v xml:space="preserve">   220110</v>
      </c>
      <c r="B10736" t="str">
        <f>T("   Eaux minérales et eaux gazéifiées, non additionnées de sucre ou d'autres édulcorants ni aromatisées")</f>
        <v xml:space="preserve">   Eaux minérales et eaux gazéifiées, non additionnées de sucre ou d'autres édulcorants ni aromatisées</v>
      </c>
      <c r="C10736">
        <v>5172901</v>
      </c>
      <c r="D10736">
        <v>58395</v>
      </c>
    </row>
    <row r="10737" spans="1:4" x14ac:dyDescent="0.25">
      <c r="A10737" t="str">
        <f>T("   220210")</f>
        <v xml:space="preserve">   220210</v>
      </c>
      <c r="B10737"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10737">
        <v>16111290</v>
      </c>
      <c r="D10737">
        <v>58196</v>
      </c>
    </row>
    <row r="10738" spans="1:4" x14ac:dyDescent="0.25">
      <c r="A10738" t="str">
        <f>T("   240220")</f>
        <v xml:space="preserve">   240220</v>
      </c>
      <c r="B10738" t="str">
        <f>T("   Cigarettes contenant du tabac")</f>
        <v xml:space="preserve">   Cigarettes contenant du tabac</v>
      </c>
      <c r="C10738">
        <v>26879983</v>
      </c>
      <c r="D10738">
        <v>15000</v>
      </c>
    </row>
    <row r="10739" spans="1:4" x14ac:dyDescent="0.25">
      <c r="A10739" t="str">
        <f>T("   250100")</f>
        <v xml:space="preserve">   250100</v>
      </c>
      <c r="B10739" t="s">
        <v>63</v>
      </c>
      <c r="C10739">
        <v>1165779</v>
      </c>
      <c r="D10739">
        <v>25600</v>
      </c>
    </row>
    <row r="10740" spans="1:4" x14ac:dyDescent="0.25">
      <c r="A10740" t="str">
        <f>T("   250900")</f>
        <v xml:space="preserve">   250900</v>
      </c>
      <c r="B10740" t="str">
        <f>T("   Craie")</f>
        <v xml:space="preserve">   Craie</v>
      </c>
      <c r="C10740">
        <v>26851197</v>
      </c>
      <c r="D10740">
        <v>492608</v>
      </c>
    </row>
    <row r="10741" spans="1:4" x14ac:dyDescent="0.25">
      <c r="A10741" t="str">
        <f>T("   252020")</f>
        <v xml:space="preserve">   252020</v>
      </c>
      <c r="B10741" t="str">
        <f>T("   Plâtres, même colorés ou additionnés de faibles quantités d'accélérateurs ou de retardateurs")</f>
        <v xml:space="preserve">   Plâtres, même colorés ou additionnés de faibles quantités d'accélérateurs ou de retardateurs</v>
      </c>
      <c r="C10741">
        <v>37595624</v>
      </c>
      <c r="D10741">
        <v>616000</v>
      </c>
    </row>
    <row r="10742" spans="1:4" x14ac:dyDescent="0.25">
      <c r="A10742" t="str">
        <f>T("   252321")</f>
        <v xml:space="preserve">   252321</v>
      </c>
      <c r="B10742" t="str">
        <f>T("   Ciments Portland blancs, même colorés artificiellement")</f>
        <v xml:space="preserve">   Ciments Portland blancs, même colorés artificiellement</v>
      </c>
      <c r="C10742">
        <v>58073646</v>
      </c>
      <c r="D10742">
        <v>1007300</v>
      </c>
    </row>
    <row r="10743" spans="1:4" x14ac:dyDescent="0.25">
      <c r="A10743" t="str">
        <f>T("   252620")</f>
        <v xml:space="preserve">   252620</v>
      </c>
      <c r="B10743" t="str">
        <f>T("   Stéatite naturelle, broyée ou pulvérisée")</f>
        <v xml:space="preserve">   Stéatite naturelle, broyée ou pulvérisée</v>
      </c>
      <c r="C10743">
        <v>315584</v>
      </c>
      <c r="D10743">
        <v>2686</v>
      </c>
    </row>
    <row r="10744" spans="1:4" x14ac:dyDescent="0.25">
      <c r="A10744" t="str">
        <f>T("   282300")</f>
        <v xml:space="preserve">   282300</v>
      </c>
      <c r="B10744" t="str">
        <f>T("   Oxydes de titane")</f>
        <v xml:space="preserve">   Oxydes de titane</v>
      </c>
      <c r="C10744">
        <v>6299636</v>
      </c>
      <c r="D10744">
        <v>17182</v>
      </c>
    </row>
    <row r="10745" spans="1:4" x14ac:dyDescent="0.25">
      <c r="A10745" t="str">
        <f>T("   283322")</f>
        <v xml:space="preserve">   283322</v>
      </c>
      <c r="B10745" t="str">
        <f>T("   SULFATE D'ALUMINIUM")</f>
        <v xml:space="preserve">   SULFATE D'ALUMINIUM</v>
      </c>
      <c r="C10745">
        <v>25773653</v>
      </c>
      <c r="D10745">
        <v>150520</v>
      </c>
    </row>
    <row r="10746" spans="1:4" x14ac:dyDescent="0.25">
      <c r="A10746" t="str">
        <f>T("   283650")</f>
        <v xml:space="preserve">   283650</v>
      </c>
      <c r="B10746" t="str">
        <f>T("   Carbonate de calcium")</f>
        <v xml:space="preserve">   Carbonate de calcium</v>
      </c>
      <c r="C10746">
        <v>44367841</v>
      </c>
      <c r="D10746">
        <v>726756</v>
      </c>
    </row>
    <row r="10747" spans="1:4" x14ac:dyDescent="0.25">
      <c r="A10747" t="str">
        <f>T("   300590")</f>
        <v xml:space="preserve">   300590</v>
      </c>
      <c r="B10747" t="s">
        <v>81</v>
      </c>
      <c r="C10747">
        <v>587084</v>
      </c>
      <c r="D10747">
        <v>86</v>
      </c>
    </row>
    <row r="10748" spans="1:4" x14ac:dyDescent="0.25">
      <c r="A10748" t="str">
        <f>T("   300610")</f>
        <v xml:space="preserve">   300610</v>
      </c>
      <c r="B10748" t="s">
        <v>82</v>
      </c>
      <c r="C10748">
        <v>424406</v>
      </c>
      <c r="D10748">
        <v>62</v>
      </c>
    </row>
    <row r="10749" spans="1:4" x14ac:dyDescent="0.25">
      <c r="A10749" t="str">
        <f>T("   320611")</f>
        <v xml:space="preserve">   320611</v>
      </c>
      <c r="B10749" t="s">
        <v>93</v>
      </c>
      <c r="C10749">
        <v>4803694</v>
      </c>
      <c r="D10749">
        <v>2500</v>
      </c>
    </row>
    <row r="10750" spans="1:4" x14ac:dyDescent="0.25">
      <c r="A10750" t="str">
        <f>T("   350610")</f>
        <v xml:space="preserve">   350610</v>
      </c>
      <c r="B10750" t="str">
        <f>T("   Produits de toute espèce à usage de colles ou d'adhésifs, conditionnés pour la vente au détail comme colles ou adhésifs, d'un poids net &lt;= 1 kg")</f>
        <v xml:space="preserve">   Produits de toute espèce à usage de colles ou d'adhésifs, conditionnés pour la vente au détail comme colles ou adhésifs, d'un poids net &lt;= 1 kg</v>
      </c>
      <c r="C10750">
        <v>27550729</v>
      </c>
      <c r="D10750">
        <v>8703</v>
      </c>
    </row>
    <row r="10751" spans="1:4" x14ac:dyDescent="0.25">
      <c r="A10751" t="str">
        <f>T("   390390")</f>
        <v xml:space="preserve">   390390</v>
      </c>
      <c r="B10751" t="str">
        <f>T("   Polymères du styrène, sous formes primaires (à l'excl. du polystyrène ainsi que des copolymères de styrène-acrylonitrile [SAN] ou d'acrylonitrile-butadiène-styrène [ABS])")</f>
        <v xml:space="preserve">   Polymères du styrène, sous formes primaires (à l'excl. du polystyrène ainsi que des copolymères de styrène-acrylonitrile [SAN] ou d'acrylonitrile-butadiène-styrène [ABS])</v>
      </c>
      <c r="C10751">
        <v>23622556</v>
      </c>
      <c r="D10751">
        <v>34489</v>
      </c>
    </row>
    <row r="10752" spans="1:4" x14ac:dyDescent="0.25">
      <c r="A10752" t="str">
        <f>T("   390512")</f>
        <v xml:space="preserve">   390512</v>
      </c>
      <c r="B10752" t="str">
        <f>T("   Poly[acétate de vinyle], en dispersion aqueuse")</f>
        <v xml:space="preserve">   Poly[acétate de vinyle], en dispersion aqueuse</v>
      </c>
      <c r="C10752">
        <v>15129581</v>
      </c>
      <c r="D10752">
        <v>27969</v>
      </c>
    </row>
    <row r="10753" spans="1:4" x14ac:dyDescent="0.25">
      <c r="A10753" t="str">
        <f>T("   390750")</f>
        <v xml:space="preserve">   390750</v>
      </c>
      <c r="B10753" t="str">
        <f>T("   Résines alkydes, sous formes primaires")</f>
        <v xml:space="preserve">   Résines alkydes, sous formes primaires</v>
      </c>
      <c r="C10753">
        <v>66590541</v>
      </c>
      <c r="D10753">
        <v>132826</v>
      </c>
    </row>
    <row r="10754" spans="1:4" x14ac:dyDescent="0.25">
      <c r="A10754" t="str">
        <f>T("   391739")</f>
        <v xml:space="preserve">   391739</v>
      </c>
      <c r="B10754" t="str">
        <f>T("   TUBES ET TUYAUX SOUPLES, EN MATIÈRES PLASTIQUES, RENFORCÉS D'AUTRES MATIÈRES OU ASSOCIÉS À D'AUTRES MATIÈRES (À L'EXCL. DES PRODUITS POUVANT SUPPORTER UNE PRESSION &gt;= 27,6 MPA)")</f>
        <v xml:space="preserve">   TUBES ET TUYAUX SOUPLES, EN MATIÈRES PLASTIQUES, RENFORCÉS D'AUTRES MATIÈRES OU ASSOCIÉS À D'AUTRES MATIÈRES (À L'EXCL. DES PRODUITS POUVANT SUPPORTER UNE PRESSION &gt;= 27,6 MPA)</v>
      </c>
      <c r="C10754">
        <v>26297435</v>
      </c>
      <c r="D10754">
        <v>19000</v>
      </c>
    </row>
    <row r="10755" spans="1:4" x14ac:dyDescent="0.25">
      <c r="A10755" t="str">
        <f>T("   401120")</f>
        <v xml:space="preserve">   401120</v>
      </c>
      <c r="B10755"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10755">
        <v>10453379</v>
      </c>
      <c r="D10755">
        <v>10243</v>
      </c>
    </row>
    <row r="10756" spans="1:4" x14ac:dyDescent="0.25">
      <c r="A10756" t="str">
        <f>T("   401140")</f>
        <v xml:space="preserve">   401140</v>
      </c>
      <c r="B10756" t="str">
        <f>T("   Pneumatiques neufs, en caoutchouc, des types utilisés pour les motocycles")</f>
        <v xml:space="preserve">   Pneumatiques neufs, en caoutchouc, des types utilisés pour les motocycles</v>
      </c>
      <c r="C10756">
        <v>3833430</v>
      </c>
      <c r="D10756">
        <v>3755</v>
      </c>
    </row>
    <row r="10757" spans="1:4" x14ac:dyDescent="0.25">
      <c r="A10757" t="str">
        <f>T("   401693")</f>
        <v xml:space="preserve">   401693</v>
      </c>
      <c r="B10757" t="str">
        <f>T("   Joints en caoutchouc vulcanisé non durci (à l'excl. des articles en caoutchouc alvéolaire)")</f>
        <v xml:space="preserve">   Joints en caoutchouc vulcanisé non durci (à l'excl. des articles en caoutchouc alvéolaire)</v>
      </c>
      <c r="C10757">
        <v>1115132</v>
      </c>
      <c r="D10757">
        <v>1000</v>
      </c>
    </row>
    <row r="10758" spans="1:4" x14ac:dyDescent="0.25">
      <c r="A10758" t="str">
        <f>T("   481014")</f>
        <v xml:space="preserve">   481014</v>
      </c>
      <c r="B10758" t="s">
        <v>208</v>
      </c>
      <c r="C10758">
        <v>13290701</v>
      </c>
      <c r="D10758">
        <v>24764</v>
      </c>
    </row>
    <row r="10759" spans="1:4" x14ac:dyDescent="0.25">
      <c r="A10759" t="str">
        <f>T("   481840")</f>
        <v xml:space="preserve">   481840</v>
      </c>
      <c r="B10759"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10759">
        <v>2905000</v>
      </c>
      <c r="D10759">
        <v>4974</v>
      </c>
    </row>
    <row r="10760" spans="1:4" x14ac:dyDescent="0.25">
      <c r="A10760" t="str">
        <f>T("   482010")</f>
        <v xml:space="preserve">   482010</v>
      </c>
      <c r="B10760" t="str">
        <f>T("   Registres, livres comptables, carnets de notes, de commandes ou de quittances, blocs-mémorandums, blocs de papier à lettres, agendas et ouvrages simil., en papier ou carton")</f>
        <v xml:space="preserve">   Registres, livres comptables, carnets de notes, de commandes ou de quittances, blocs-mémorandums, blocs de papier à lettres, agendas et ouvrages simil., en papier ou carton</v>
      </c>
      <c r="C10760">
        <v>7116255</v>
      </c>
      <c r="D10760">
        <v>13680</v>
      </c>
    </row>
    <row r="10761" spans="1:4" x14ac:dyDescent="0.25">
      <c r="A10761" t="str">
        <f>T("   482020")</f>
        <v xml:space="preserve">   482020</v>
      </c>
      <c r="B10761" t="str">
        <f>T("   Cahiers pour l'écriture, en papier ou carton")</f>
        <v xml:space="preserve">   Cahiers pour l'écriture, en papier ou carton</v>
      </c>
      <c r="C10761">
        <v>29139973</v>
      </c>
      <c r="D10761">
        <v>50324</v>
      </c>
    </row>
    <row r="10762" spans="1:4" x14ac:dyDescent="0.25">
      <c r="A10762" t="str">
        <f>T("   490290")</f>
        <v xml:space="preserve">   490290</v>
      </c>
      <c r="B10762" t="str">
        <f>T("   Journaux et publications périodiques imprimés, même illustrés ou contenant de la publicité (à l'excl. des journaux et publications paraissant au moins quatre fois par semaine)")</f>
        <v xml:space="preserve">   Journaux et publications périodiques imprimés, même illustrés ou contenant de la publicité (à l'excl. des journaux et publications paraissant au moins quatre fois par semaine)</v>
      </c>
      <c r="C10762">
        <v>3820310</v>
      </c>
      <c r="D10762">
        <v>1756</v>
      </c>
    </row>
    <row r="10763" spans="1:4" x14ac:dyDescent="0.25">
      <c r="A10763" t="str">
        <f>T("   560811")</f>
        <v xml:space="preserve">   560811</v>
      </c>
      <c r="B10763" t="str">
        <f>T("   Filets confectionnés pour la pêche, à mailles nouées, en matières textiles synthétiques ou artificielles (à l'excl. des épuisettes)")</f>
        <v xml:space="preserve">   Filets confectionnés pour la pêche, à mailles nouées, en matières textiles synthétiques ou artificielles (à l'excl. des épuisettes)</v>
      </c>
      <c r="C10763">
        <v>2550372</v>
      </c>
      <c r="D10763">
        <v>11145</v>
      </c>
    </row>
    <row r="10764" spans="1:4" x14ac:dyDescent="0.25">
      <c r="A10764" t="str">
        <f>T("   610990")</f>
        <v xml:space="preserve">   610990</v>
      </c>
      <c r="B10764" t="str">
        <f>T("   T-shirts et maillots de corps, en bonneterie, de matières textiles (sauf de coton)")</f>
        <v xml:space="preserve">   T-shirts et maillots de corps, en bonneterie, de matières textiles (sauf de coton)</v>
      </c>
      <c r="C10764">
        <v>67876</v>
      </c>
      <c r="D10764">
        <v>150</v>
      </c>
    </row>
    <row r="10765" spans="1:4" x14ac:dyDescent="0.25">
      <c r="A10765" t="str">
        <f>T("   630533")</f>
        <v xml:space="preserve">   630533</v>
      </c>
      <c r="B10765" t="str">
        <f>T("   Sacs et sachets d'emballage obtenus à partir de lames ou formes simil., de polyéthylène ou polypropylène (à l'excl. des contenants souples pour matières en vrac)")</f>
        <v xml:space="preserve">   Sacs et sachets d'emballage obtenus à partir de lames ou formes simil., de polyéthylène ou polypropylène (à l'excl. des contenants souples pour matières en vrac)</v>
      </c>
      <c r="C10765">
        <v>16012</v>
      </c>
      <c r="D10765">
        <v>10</v>
      </c>
    </row>
    <row r="10766" spans="1:4" x14ac:dyDescent="0.25">
      <c r="A10766" t="str">
        <f>T("   630590")</f>
        <v xml:space="preserve">   630590</v>
      </c>
      <c r="B10766" t="str">
        <f>T("   Sacs et sachets d'emballage de matières textiles (autres qu'en matières textiles synthétiques ou artificielles, coton, jute ou autres fibres textiles libérienne du n° 5303)")</f>
        <v xml:space="preserve">   Sacs et sachets d'emballage de matières textiles (autres qu'en matières textiles synthétiques ou artificielles, coton, jute ou autres fibres textiles libérienne du n° 5303)</v>
      </c>
      <c r="C10766">
        <v>1050</v>
      </c>
      <c r="D10766">
        <v>478</v>
      </c>
    </row>
    <row r="10767" spans="1:4" x14ac:dyDescent="0.25">
      <c r="A10767" t="str">
        <f>T("   630900")</f>
        <v xml:space="preserve">   630900</v>
      </c>
      <c r="B10767" t="s">
        <v>278</v>
      </c>
      <c r="C10767">
        <v>43400757</v>
      </c>
      <c r="D10767">
        <v>88780</v>
      </c>
    </row>
    <row r="10768" spans="1:4" x14ac:dyDescent="0.25">
      <c r="A10768" t="str">
        <f>T("   691090")</f>
        <v xml:space="preserve">   691090</v>
      </c>
      <c r="B10768" t="s">
        <v>313</v>
      </c>
      <c r="C10768">
        <v>9877957</v>
      </c>
      <c r="D10768">
        <v>23727.8</v>
      </c>
    </row>
    <row r="10769" spans="1:4" x14ac:dyDescent="0.25">
      <c r="A10769" t="str">
        <f>T("   730890")</f>
        <v xml:space="preserve">   730890</v>
      </c>
      <c r="B10769" t="s">
        <v>355</v>
      </c>
      <c r="C10769">
        <v>4410554</v>
      </c>
      <c r="D10769">
        <v>1383</v>
      </c>
    </row>
    <row r="10770" spans="1:4" x14ac:dyDescent="0.25">
      <c r="A10770" t="str">
        <f>T("   731021")</f>
        <v xml:space="preserve">   731021</v>
      </c>
      <c r="B10770" t="str">
        <f>T("   Boîtes en fer ou en acier, contenance &lt; 50 l, à fermer par soudage ou sertissage (sauf pour gaz comprimés ou liquéfiés)")</f>
        <v xml:space="preserve">   Boîtes en fer ou en acier, contenance &lt; 50 l, à fermer par soudage ou sertissage (sauf pour gaz comprimés ou liquéfiés)</v>
      </c>
      <c r="C10770">
        <v>11681610</v>
      </c>
      <c r="D10770">
        <v>7216</v>
      </c>
    </row>
    <row r="10771" spans="1:4" x14ac:dyDescent="0.25">
      <c r="A10771" t="str">
        <f>T("   731029")</f>
        <v xml:space="preserve">   731029</v>
      </c>
      <c r="B10771" t="str">
        <f>T("   Réservoirs, fûts, tambours, bidons et récipients simil., en fer ou en acier, pour toutes matières, contenance &lt; 50 l, n.d.a. (sauf pour gaz comprimés ou liquéfiés, sans dispositifs mécaniques ou thermiques et à l'excl. des boîtes)")</f>
        <v xml:space="preserve">   Réservoirs, fûts, tambours, bidons et récipients simil., en fer ou en acier, pour toutes matières, contenance &lt; 50 l, n.d.a. (sauf pour gaz comprimés ou liquéfiés, sans dispositifs mécaniques ou thermiques et à l'excl. des boîtes)</v>
      </c>
      <c r="C10771">
        <v>6709862</v>
      </c>
      <c r="D10771">
        <v>3078</v>
      </c>
    </row>
    <row r="10772" spans="1:4" x14ac:dyDescent="0.25">
      <c r="A10772" t="str">
        <f>T("   731449")</f>
        <v xml:space="preserve">   731449</v>
      </c>
      <c r="B10772" t="str">
        <f>T("   Toiles métalliques nontissées, grillages et treillis, en fils de fer ou d'acier, non soudés aux points de rencontre (sauf zingués ou recouverts de matières plastiques)")</f>
        <v xml:space="preserve">   Toiles métalliques nontissées, grillages et treillis, en fils de fer ou d'acier, non soudés aux points de rencontre (sauf zingués ou recouverts de matières plastiques)</v>
      </c>
      <c r="C10772">
        <v>5546864</v>
      </c>
      <c r="D10772">
        <v>1188</v>
      </c>
    </row>
    <row r="10773" spans="1:4" x14ac:dyDescent="0.25">
      <c r="A10773" t="str">
        <f>T("   731815")</f>
        <v xml:space="preserve">   731815</v>
      </c>
      <c r="B10773" t="s">
        <v>359</v>
      </c>
      <c r="C10773">
        <v>2397534</v>
      </c>
      <c r="D10773">
        <v>5228</v>
      </c>
    </row>
    <row r="10774" spans="1:4" x14ac:dyDescent="0.25">
      <c r="A10774" t="str">
        <f>T("   732111")</f>
        <v xml:space="preserve">   732111</v>
      </c>
      <c r="B10774" t="s">
        <v>361</v>
      </c>
      <c r="C10774">
        <v>9290361</v>
      </c>
      <c r="D10774">
        <v>6678</v>
      </c>
    </row>
    <row r="10775" spans="1:4" x14ac:dyDescent="0.25">
      <c r="A10775" t="str">
        <f>T("   732190")</f>
        <v xml:space="preserve">   732190</v>
      </c>
      <c r="B10775" t="str">
        <f>T("   Parties des appareils ménagers chauffants non-électriques du n° 7321, n.d.a.")</f>
        <v xml:space="preserve">   Parties des appareils ménagers chauffants non-électriques du n° 7321, n.d.a.</v>
      </c>
      <c r="C10775">
        <v>186949</v>
      </c>
      <c r="D10775">
        <v>134</v>
      </c>
    </row>
    <row r="10776" spans="1:4" x14ac:dyDescent="0.25">
      <c r="A10776" t="str">
        <f>T("   732393")</f>
        <v xml:space="preserve">   732393</v>
      </c>
      <c r="B10776" t="s">
        <v>366</v>
      </c>
      <c r="C10776">
        <v>6115468</v>
      </c>
      <c r="D10776">
        <v>2450</v>
      </c>
    </row>
    <row r="10777" spans="1:4" x14ac:dyDescent="0.25">
      <c r="A10777" t="str">
        <f>T("   760429")</f>
        <v xml:space="preserve">   760429</v>
      </c>
      <c r="B10777" t="str">
        <f>T("   Barres et profilés pleins en alliages d'aluminium, n.d.a.")</f>
        <v xml:space="preserve">   Barres et profilés pleins en alliages d'aluminium, n.d.a.</v>
      </c>
      <c r="C10777">
        <v>16260176</v>
      </c>
      <c r="D10777">
        <v>7500</v>
      </c>
    </row>
    <row r="10778" spans="1:4" x14ac:dyDescent="0.25">
      <c r="A10778" t="str">
        <f>T("   760900")</f>
        <v xml:space="preserve">   760900</v>
      </c>
      <c r="B10778" t="str">
        <f>T("   Accessoires de tuyauterie, p.ex. raccords, coudes, manchons, en aluminium")</f>
        <v xml:space="preserve">   Accessoires de tuyauterie, p.ex. raccords, coudes, manchons, en aluminium</v>
      </c>
      <c r="C10778">
        <v>400081</v>
      </c>
      <c r="D10778">
        <v>293</v>
      </c>
    </row>
    <row r="10779" spans="1:4" x14ac:dyDescent="0.25">
      <c r="A10779" t="str">
        <f>T("   761090")</f>
        <v xml:space="preserve">   761090</v>
      </c>
      <c r="B10779" t="str">
        <f>T("   Constructions et parties de constructions, en aluminium, n.d.a., ainsi que tôles, barres, profilés, tubes, tuyaux et simil., en aluminium, n.d.a; (sauf constructions préfabriquées du n° 9406, portes, fenêtres et leurs cadres, chambranles et seuils)")</f>
        <v xml:space="preserve">   Constructions et parties de constructions, en aluminium, n.d.a., ainsi que tôles, barres, profilés, tubes, tuyaux et simil., en aluminium, n.d.a; (sauf constructions préfabriquées du n° 9406, portes, fenêtres et leurs cadres, chambranles et seuils)</v>
      </c>
      <c r="C10779">
        <v>32958711</v>
      </c>
      <c r="D10779">
        <v>14908</v>
      </c>
    </row>
    <row r="10780" spans="1:4" x14ac:dyDescent="0.25">
      <c r="A10780" t="str">
        <f>T("   761519")</f>
        <v xml:space="preserve">   761519</v>
      </c>
      <c r="B10780" t="s">
        <v>373</v>
      </c>
      <c r="C10780">
        <v>371000</v>
      </c>
      <c r="D10780">
        <v>726</v>
      </c>
    </row>
    <row r="10781" spans="1:4" x14ac:dyDescent="0.25">
      <c r="A10781" t="str">
        <f>T("   761610")</f>
        <v xml:space="preserve">   761610</v>
      </c>
      <c r="B10781" t="s">
        <v>374</v>
      </c>
      <c r="C10781">
        <v>331260</v>
      </c>
      <c r="D10781">
        <v>23</v>
      </c>
    </row>
    <row r="10782" spans="1:4" x14ac:dyDescent="0.25">
      <c r="A10782" t="str">
        <f>T("   820130")</f>
        <v xml:space="preserve">   820130</v>
      </c>
      <c r="B10782" t="str">
        <f>T("   Pioches, pics, houes, binettes, râteaux et racloirs, avec partie travaillante en métaux communs (sauf piolets)")</f>
        <v xml:space="preserve">   Pioches, pics, houes, binettes, râteaux et racloirs, avec partie travaillante en métaux communs (sauf piolets)</v>
      </c>
      <c r="C10782">
        <v>982628</v>
      </c>
      <c r="D10782">
        <v>2236</v>
      </c>
    </row>
    <row r="10783" spans="1:4" x14ac:dyDescent="0.25">
      <c r="A10783" t="str">
        <f>T("   830140")</f>
        <v xml:space="preserve">   830140</v>
      </c>
      <c r="B10783" t="str">
        <f>T("   Serrures et verrous, en métaux communs (autres que cadenas et serrures des types utilisés pour véhicules automobiles ou meubles)")</f>
        <v xml:space="preserve">   Serrures et verrous, en métaux communs (autres que cadenas et serrures des types utilisés pour véhicules automobiles ou meubles)</v>
      </c>
      <c r="C10783">
        <v>1092797</v>
      </c>
      <c r="D10783">
        <v>300</v>
      </c>
    </row>
    <row r="10784" spans="1:4" x14ac:dyDescent="0.25">
      <c r="A10784" t="str">
        <f>T("   830210")</f>
        <v xml:space="preserve">   830210</v>
      </c>
      <c r="B10784" t="str">
        <f>T("   Charnières de tous genres, y.c. les paumelles et pentures, en métaux communs")</f>
        <v xml:space="preserve">   Charnières de tous genres, y.c. les paumelles et pentures, en métaux communs</v>
      </c>
      <c r="C10784">
        <v>6264418</v>
      </c>
      <c r="D10784">
        <v>14226</v>
      </c>
    </row>
    <row r="10785" spans="1:4" x14ac:dyDescent="0.25">
      <c r="A10785" t="str">
        <f>T("   830241")</f>
        <v xml:space="preserve">   830241</v>
      </c>
      <c r="B10785" t="str">
        <f>T("   Garnitures, ferrures et simil., pour bâtiments, en métaux communs (sauf serrures et verrous de sûreté à clef et sauf charnières)")</f>
        <v xml:space="preserve">   Garnitures, ferrures et simil., pour bâtiments, en métaux communs (sauf serrures et verrous de sûreté à clef et sauf charnières)</v>
      </c>
      <c r="C10785">
        <v>1771749</v>
      </c>
      <c r="D10785">
        <v>1500</v>
      </c>
    </row>
    <row r="10786" spans="1:4" x14ac:dyDescent="0.25">
      <c r="A10786" t="str">
        <f>T("   831000")</f>
        <v xml:space="preserve">   831000</v>
      </c>
      <c r="B10786" t="s">
        <v>383</v>
      </c>
      <c r="C10786">
        <v>386360</v>
      </c>
      <c r="D10786">
        <v>15</v>
      </c>
    </row>
    <row r="10787" spans="1:4" x14ac:dyDescent="0.25">
      <c r="A10787" t="str">
        <f>T("   841510")</f>
        <v xml:space="preserve">   841510</v>
      </c>
      <c r="B10787" t="s">
        <v>399</v>
      </c>
      <c r="C10787">
        <v>49285554</v>
      </c>
      <c r="D10787">
        <v>32631</v>
      </c>
    </row>
    <row r="10788" spans="1:4" x14ac:dyDescent="0.25">
      <c r="A10788" t="str">
        <f>T("   841590")</f>
        <v xml:space="preserve">   841590</v>
      </c>
      <c r="B10788" t="str">
        <f>T("   Parties de machines et appareils pour le conditionnement de l'air comprenant un ventilateur à moteur et des dispositifs propres à modifier la température et l'humidité de l'air, n.d.a.")</f>
        <v xml:space="preserve">   Parties de machines et appareils pour le conditionnement de l'air comprenant un ventilateur à moteur et des dispositifs propres à modifier la température et l'humidité de l'air, n.d.a.</v>
      </c>
      <c r="C10788">
        <v>77404</v>
      </c>
      <c r="D10788">
        <v>54</v>
      </c>
    </row>
    <row r="10789" spans="1:4" x14ac:dyDescent="0.25">
      <c r="A10789" t="str">
        <f>T("   841720")</f>
        <v xml:space="preserve">   841720</v>
      </c>
      <c r="B10789" t="str">
        <f>T("   Fours non-électriques, de boulangerie, de pâtisserie ou de biscuiterie")</f>
        <v xml:space="preserve">   Fours non-électriques, de boulangerie, de pâtisserie ou de biscuiterie</v>
      </c>
      <c r="C10789">
        <v>19364595</v>
      </c>
      <c r="D10789">
        <v>1500</v>
      </c>
    </row>
    <row r="10790" spans="1:4" x14ac:dyDescent="0.25">
      <c r="A10790" t="str">
        <f>T("   841790")</f>
        <v xml:space="preserve">   841790</v>
      </c>
      <c r="B10790" t="str">
        <f>T("   Parties de fours industriels ou de laboratoire non-électriques, y.c. d'incinérateurs, n.d.a.")</f>
        <v xml:space="preserve">   Parties de fours industriels ou de laboratoire non-électriques, y.c. d'incinérateurs, n.d.a.</v>
      </c>
      <c r="C10790">
        <v>4303097</v>
      </c>
      <c r="D10790">
        <v>1240</v>
      </c>
    </row>
    <row r="10791" spans="1:4" x14ac:dyDescent="0.25">
      <c r="A10791" t="str">
        <f>T("   841829")</f>
        <v xml:space="preserve">   841829</v>
      </c>
      <c r="B10791" t="str">
        <f>T("   Réfrigérateurs ménagers à absorption, non-électriques")</f>
        <v xml:space="preserve">   Réfrigérateurs ménagers à absorption, non-électriques</v>
      </c>
      <c r="C10791">
        <v>28336160</v>
      </c>
      <c r="D10791">
        <v>24207</v>
      </c>
    </row>
    <row r="10792" spans="1:4" x14ac:dyDescent="0.25">
      <c r="A10792" t="str">
        <f>T("   841850")</f>
        <v xml:space="preserve">   841850</v>
      </c>
      <c r="B10792" t="s">
        <v>404</v>
      </c>
      <c r="C10792">
        <v>12521620</v>
      </c>
      <c r="D10792">
        <v>10126</v>
      </c>
    </row>
    <row r="10793" spans="1:4" x14ac:dyDescent="0.25">
      <c r="A10793" t="str">
        <f>T("   841899")</f>
        <v xml:space="preserve">   841899</v>
      </c>
      <c r="B10793" t="str">
        <f>T("   Parties de réfrigérateurs et de congélateurs-conservateurs du type armoire et du type coffre et d'autres matériel, machines et appareils pour la production du froid, parties de pompes à chaleur, n.d.a.")</f>
        <v xml:space="preserve">   Parties de réfrigérateurs et de congélateurs-conservateurs du type armoire et du type coffre et d'autres matériel, machines et appareils pour la production du froid, parties de pompes à chaleur, n.d.a.</v>
      </c>
      <c r="C10793">
        <v>46574</v>
      </c>
      <c r="D10793">
        <v>37</v>
      </c>
    </row>
    <row r="10794" spans="1:4" x14ac:dyDescent="0.25">
      <c r="A10794" t="str">
        <f>T("   842382")</f>
        <v xml:space="preserve">   842382</v>
      </c>
      <c r="B10794" t="str">
        <f>T("   Appareils et instruments de pesage, portée &gt; 30 kg mais &lt;= 5000 kg (à l'excl. des pèse-personnes, bascules à pesage continu sur transporteurs, bascules à pesées constantes et balances et bascules ensacheuses ou doseuses)")</f>
        <v xml:space="preserve">   Appareils et instruments de pesage, portée &gt; 30 kg mais &lt;= 5000 kg (à l'excl. des pèse-personnes, bascules à pesage continu sur transporteurs, bascules à pesées constantes et balances et bascules ensacheuses ou doseuses)</v>
      </c>
      <c r="C10794">
        <v>5370000</v>
      </c>
      <c r="D10794">
        <v>2000</v>
      </c>
    </row>
    <row r="10795" spans="1:4" x14ac:dyDescent="0.25">
      <c r="A10795" t="str">
        <f>T("   848180")</f>
        <v xml:space="preserve">   848180</v>
      </c>
      <c r="B10795"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10795">
        <v>9655659</v>
      </c>
      <c r="D10795">
        <v>2067</v>
      </c>
    </row>
    <row r="10796" spans="1:4" x14ac:dyDescent="0.25">
      <c r="A10796" t="str">
        <f>T("   848420")</f>
        <v xml:space="preserve">   848420</v>
      </c>
      <c r="B10796" t="str">
        <f>T("   Joints d'étanchéité mécaniques")</f>
        <v xml:space="preserve">   Joints d'étanchéité mécaniques</v>
      </c>
      <c r="C10796">
        <v>3455537</v>
      </c>
      <c r="D10796">
        <v>300</v>
      </c>
    </row>
    <row r="10797" spans="1:4" x14ac:dyDescent="0.25">
      <c r="A10797" t="str">
        <f>T("   848490")</f>
        <v xml:space="preserve">   848490</v>
      </c>
      <c r="B10797" t="str">
        <f>T("   Jeux ou assortiments de joints de composition différente présentés en pochettes, enveloppes ou emballages analogues")</f>
        <v xml:space="preserve">   Jeux ou assortiments de joints de composition différente présentés en pochettes, enveloppes ou emballages analogues</v>
      </c>
      <c r="C10797">
        <v>3147296</v>
      </c>
      <c r="D10797">
        <v>931</v>
      </c>
    </row>
    <row r="10798" spans="1:4" x14ac:dyDescent="0.25">
      <c r="A10798" t="str">
        <f>T("   851220")</f>
        <v xml:space="preserve">   851220</v>
      </c>
      <c r="B10798" t="str">
        <f>T("   Appareils électriques d'éclairage ou de signalisation visuelle, pour automobiles (à l'excl. des lampes du n° 8539)")</f>
        <v xml:space="preserve">   Appareils électriques d'éclairage ou de signalisation visuelle, pour automobiles (à l'excl. des lampes du n° 8539)</v>
      </c>
      <c r="C10798">
        <v>5479234</v>
      </c>
      <c r="D10798">
        <v>209</v>
      </c>
    </row>
    <row r="10799" spans="1:4" x14ac:dyDescent="0.25">
      <c r="A10799" t="str">
        <f>T("   851790")</f>
        <v xml:space="preserve">   851790</v>
      </c>
      <c r="B10799" t="s">
        <v>459</v>
      </c>
      <c r="C10799">
        <v>3121714</v>
      </c>
      <c r="D10799">
        <v>120</v>
      </c>
    </row>
    <row r="10800" spans="1:4" x14ac:dyDescent="0.25">
      <c r="A10800" t="str">
        <f>T("   853650")</f>
        <v xml:space="preserve">   853650</v>
      </c>
      <c r="B10800" t="str">
        <f>T("   Interrupteurs, sectionneurs et commutateurs, pour une tension &lt;= 1.000 V (autres que relais et disjoncteurs)")</f>
        <v xml:space="preserve">   Interrupteurs, sectionneurs et commutateurs, pour une tension &lt;= 1.000 V (autres que relais et disjoncteurs)</v>
      </c>
      <c r="C10800">
        <v>6652091</v>
      </c>
      <c r="D10800">
        <v>2129</v>
      </c>
    </row>
    <row r="10801" spans="1:4" x14ac:dyDescent="0.25">
      <c r="A10801" t="str">
        <f>T("   853669")</f>
        <v xml:space="preserve">   853669</v>
      </c>
      <c r="B10801" t="str">
        <f>T("   Fiches et prises de courant, pour une tension &lt;= 1.000 V (sauf douilles pour lampes)")</f>
        <v xml:space="preserve">   Fiches et prises de courant, pour une tension &lt;= 1.000 V (sauf douilles pour lampes)</v>
      </c>
      <c r="C10801">
        <v>1111852</v>
      </c>
      <c r="D10801">
        <v>373</v>
      </c>
    </row>
    <row r="10802" spans="1:4" x14ac:dyDescent="0.25">
      <c r="A10802" t="str">
        <f>T("   853690")</f>
        <v xml:space="preserve">   853690</v>
      </c>
      <c r="B10802" t="s">
        <v>474</v>
      </c>
      <c r="C10802">
        <v>10148357</v>
      </c>
      <c r="D10802">
        <v>3404</v>
      </c>
    </row>
    <row r="10803" spans="1:4" x14ac:dyDescent="0.25">
      <c r="A10803" t="str">
        <f>T("   853710")</f>
        <v xml:space="preserve">   853710</v>
      </c>
      <c r="B10803"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10803">
        <v>11730533</v>
      </c>
      <c r="D10803">
        <v>630</v>
      </c>
    </row>
    <row r="10804" spans="1:4" x14ac:dyDescent="0.25">
      <c r="A10804" t="str">
        <f>T("   853949")</f>
        <v xml:space="preserve">   853949</v>
      </c>
      <c r="B10804" t="str">
        <f>T("   Lampes et tubes à rayons ultraviolets ou infrarouges")</f>
        <v xml:space="preserve">   Lampes et tubes à rayons ultraviolets ou infrarouges</v>
      </c>
      <c r="C10804">
        <v>556611</v>
      </c>
      <c r="D10804">
        <v>554</v>
      </c>
    </row>
    <row r="10805" spans="1:4" x14ac:dyDescent="0.25">
      <c r="A10805" t="str">
        <f>T("   854451")</f>
        <v xml:space="preserve">   854451</v>
      </c>
      <c r="B10805" t="str">
        <f>T("   Conducteurs électriques, pour tension &gt; 80 V mais &lt;= 1.000 V, avec pièces de connexion, n.d.a.")</f>
        <v xml:space="preserve">   Conducteurs électriques, pour tension &gt; 80 V mais &lt;= 1.000 V, avec pièces de connexion, n.d.a.</v>
      </c>
      <c r="C10805">
        <v>33421162</v>
      </c>
      <c r="D10805">
        <v>42517</v>
      </c>
    </row>
    <row r="10806" spans="1:4" x14ac:dyDescent="0.25">
      <c r="A10806" t="str">
        <f>T("   854459")</f>
        <v xml:space="preserve">   854459</v>
      </c>
      <c r="B10806" t="str">
        <f>T("   Conducteurs électriques, pour tension &gt; 80 V mais &lt;= 1.000 V, sans pièces de connexion, n.d.a.")</f>
        <v xml:space="preserve">   Conducteurs électriques, pour tension &gt; 80 V mais &lt;= 1.000 V, sans pièces de connexion, n.d.a.</v>
      </c>
      <c r="C10806">
        <v>89486063</v>
      </c>
      <c r="D10806">
        <v>60442</v>
      </c>
    </row>
    <row r="10807" spans="1:4" x14ac:dyDescent="0.25">
      <c r="A10807" t="str">
        <f>T("   870323")</f>
        <v xml:space="preserve">   870323</v>
      </c>
      <c r="B10807" t="s">
        <v>481</v>
      </c>
      <c r="C10807">
        <v>22958600</v>
      </c>
      <c r="D10807">
        <v>2320</v>
      </c>
    </row>
    <row r="10808" spans="1:4" x14ac:dyDescent="0.25">
      <c r="A10808" t="str">
        <f>T("   870332")</f>
        <v xml:space="preserve">   870332</v>
      </c>
      <c r="B10808" t="s">
        <v>484</v>
      </c>
      <c r="C10808">
        <v>6302034</v>
      </c>
      <c r="D10808">
        <v>1800</v>
      </c>
    </row>
    <row r="10809" spans="1:4" x14ac:dyDescent="0.25">
      <c r="A10809" t="str">
        <f>T("   901720")</f>
        <v xml:space="preserve">   901720</v>
      </c>
      <c r="B10809" t="str">
        <f>T("   Instruments de dessin, de traçage et de calcul (sauf tables et machines à dessiner ainsi que calculatrices)")</f>
        <v xml:space="preserve">   Instruments de dessin, de traçage et de calcul (sauf tables et machines à dessiner ainsi que calculatrices)</v>
      </c>
      <c r="C10809">
        <v>3344853</v>
      </c>
      <c r="D10809">
        <v>1650</v>
      </c>
    </row>
    <row r="10810" spans="1:4" x14ac:dyDescent="0.25">
      <c r="A10810" t="str">
        <f>T("   902480")</f>
        <v xml:space="preserve">   902480</v>
      </c>
      <c r="B10810" t="str">
        <f>T("   Machines et appareils d'essais des propriétés mécaniques des matériaux (autres que les métaux)")</f>
        <v xml:space="preserve">   Machines et appareils d'essais des propriétés mécaniques des matériaux (autres que les métaux)</v>
      </c>
      <c r="C10810">
        <v>335196</v>
      </c>
      <c r="D10810">
        <v>138</v>
      </c>
    </row>
    <row r="10811" spans="1:4" x14ac:dyDescent="0.25">
      <c r="A10811" t="str">
        <f>T("   902830")</f>
        <v xml:space="preserve">   902830</v>
      </c>
      <c r="B10811" t="str">
        <f>T("   Compteurs d'électricité, y.c. les compteurs pour leur étalonnage")</f>
        <v xml:space="preserve">   Compteurs d'électricité, y.c. les compteurs pour leur étalonnage</v>
      </c>
      <c r="C10811">
        <v>160153933</v>
      </c>
      <c r="D10811">
        <v>50193</v>
      </c>
    </row>
    <row r="10812" spans="1:4" x14ac:dyDescent="0.25">
      <c r="A10812" t="str">
        <f>T("   903210")</f>
        <v xml:space="preserve">   903210</v>
      </c>
      <c r="B10812" t="str">
        <f>T("   Thermostats pour la régulation ou le contrôle automatiques")</f>
        <v xml:space="preserve">   Thermostats pour la régulation ou le contrôle automatiques</v>
      </c>
      <c r="C10812">
        <v>129881</v>
      </c>
      <c r="D10812">
        <v>111</v>
      </c>
    </row>
    <row r="10813" spans="1:4" x14ac:dyDescent="0.25">
      <c r="A10813" t="str">
        <f>T("   940180")</f>
        <v xml:space="preserve">   940180</v>
      </c>
      <c r="B10813" t="str">
        <f>T("   Sièges, n.d.a.")</f>
        <v xml:space="preserve">   Sièges, n.d.a.</v>
      </c>
      <c r="C10813">
        <v>1115132</v>
      </c>
      <c r="D10813">
        <v>400</v>
      </c>
    </row>
    <row r="10814" spans="1:4" x14ac:dyDescent="0.25">
      <c r="A10814" t="str">
        <f>T("   940350")</f>
        <v xml:space="preserve">   940350</v>
      </c>
      <c r="B10814" t="str">
        <f>T("   Meubles pour chambres à coucher, en bois (sauf sièges)")</f>
        <v xml:space="preserve">   Meubles pour chambres à coucher, en bois (sauf sièges)</v>
      </c>
      <c r="C10814">
        <v>1500000</v>
      </c>
      <c r="D10814">
        <v>4500</v>
      </c>
    </row>
    <row r="10815" spans="1:4" x14ac:dyDescent="0.25">
      <c r="A10815" t="str">
        <f>T("   940370")</f>
        <v xml:space="preserve">   940370</v>
      </c>
      <c r="B10815" t="str">
        <f>T("   Meubles en matières plastiques (autres que pour la médecine, l'art dentaire et vétérinaire, la chirurgie et autres que sièges)")</f>
        <v xml:space="preserve">   Meubles en matières plastiques (autres que pour la médecine, l'art dentaire et vétérinaire, la chirurgie et autres que sièges)</v>
      </c>
      <c r="C10815">
        <v>779280</v>
      </c>
      <c r="D10815">
        <v>110</v>
      </c>
    </row>
    <row r="10816" spans="1:4" x14ac:dyDescent="0.25">
      <c r="A10816" t="str">
        <f>T("   940540")</f>
        <v xml:space="preserve">   940540</v>
      </c>
      <c r="B10816" t="str">
        <f>T("   Appareils d'éclairage électrique, n.d.a.")</f>
        <v xml:space="preserve">   Appareils d'éclairage électrique, n.d.a.</v>
      </c>
      <c r="C10816">
        <v>5529087</v>
      </c>
      <c r="D10816">
        <v>8160</v>
      </c>
    </row>
    <row r="10817" spans="1:4" x14ac:dyDescent="0.25">
      <c r="A10817" t="str">
        <f>T("   940599")</f>
        <v xml:space="preserve">   940599</v>
      </c>
      <c r="B10817" t="str">
        <f>T("   Parties d'appareils d'éclairage, de lampes-réclames, d'enseignes lumineuses, de plaques indicatrices lumineuses, et simil., n.d.a.")</f>
        <v xml:space="preserve">   Parties d'appareils d'éclairage, de lampes-réclames, d'enseignes lumineuses, de plaques indicatrices lumineuses, et simil., n.d.a.</v>
      </c>
      <c r="C10817">
        <v>4921668</v>
      </c>
      <c r="D10817">
        <v>3618</v>
      </c>
    </row>
    <row r="10818" spans="1:4" x14ac:dyDescent="0.25">
      <c r="A10818" t="str">
        <f>T("   960390")</f>
        <v xml:space="preserve">   960390</v>
      </c>
      <c r="B10818" t="str">
        <f>T("   ARTICLES DE BROSSERIE (SAUF DU N° 9603.10 À 9603.50), P.EX. TÊTES PRÉPARÉES POUR ARTICLES DE BROSSERIE ET RACLETTES EN CAOUTCHOUC OU EN MATIÈRES SOUPLES ANALOGUES")</f>
        <v xml:space="preserve">   ARTICLES DE BROSSERIE (SAUF DU N° 9603.10 À 9603.50), P.EX. TÊTES PRÉPARÉES POUR ARTICLES DE BROSSERIE ET RACLETTES EN CAOUTCHOUC OU EN MATIÈRES SOUPLES ANALOGUES</v>
      </c>
      <c r="C10818">
        <v>613979</v>
      </c>
      <c r="D10818">
        <v>1416</v>
      </c>
    </row>
    <row r="10819" spans="1:4" x14ac:dyDescent="0.25">
      <c r="A10819" t="str">
        <f>T("TR")</f>
        <v>TR</v>
      </c>
      <c r="B10819" t="str">
        <f>T("Turquie")</f>
        <v>Turquie</v>
      </c>
    </row>
    <row r="10820" spans="1:4" x14ac:dyDescent="0.25">
      <c r="A10820" t="str">
        <f>T("   ZZ_Total_Produit_SH6")</f>
        <v xml:space="preserve">   ZZ_Total_Produit_SH6</v>
      </c>
      <c r="B10820" t="str">
        <f>T("   ZZ_Total_Produit_SH6")</f>
        <v xml:space="preserve">   ZZ_Total_Produit_SH6</v>
      </c>
      <c r="C10820">
        <v>8685802974.1940002</v>
      </c>
      <c r="D10820">
        <v>55629042</v>
      </c>
    </row>
    <row r="10821" spans="1:4" x14ac:dyDescent="0.25">
      <c r="A10821" t="str">
        <f>T("   020712")</f>
        <v xml:space="preserve">   020712</v>
      </c>
      <c r="B10821" t="str">
        <f>T("   COQS ET POULES [DES ESPÈCES DOMESTIQUES], NON-DÉCOUPÉS EN MORCEAUX, CONGELÉS")</f>
        <v xml:space="preserve">   COQS ET POULES [DES ESPÈCES DOMESTIQUES], NON-DÉCOUPÉS EN MORCEAUX, CONGELÉS</v>
      </c>
      <c r="C10821">
        <v>74404231</v>
      </c>
      <c r="D10821">
        <v>124005</v>
      </c>
    </row>
    <row r="10822" spans="1:4" x14ac:dyDescent="0.25">
      <c r="A10822" t="str">
        <f>T("   020714")</f>
        <v xml:space="preserve">   020714</v>
      </c>
      <c r="B10822" t="str">
        <f>T("   Morceaux et abats comestibles de coqs et de poules [des espèces domestiques], congelés")</f>
        <v xml:space="preserve">   Morceaux et abats comestibles de coqs et de poules [des espèces domestiques], congelés</v>
      </c>
      <c r="C10822">
        <v>62400820</v>
      </c>
      <c r="D10822">
        <v>104000</v>
      </c>
    </row>
    <row r="10823" spans="1:4" x14ac:dyDescent="0.25">
      <c r="A10823" t="str">
        <f>T("   110100")</f>
        <v xml:space="preserve">   110100</v>
      </c>
      <c r="B10823" t="str">
        <f>T("   Farines de froment [blé] ou de méteil")</f>
        <v xml:space="preserve">   Farines de froment [blé] ou de méteil</v>
      </c>
      <c r="C10823">
        <v>257092955.19400001</v>
      </c>
      <c r="D10823">
        <v>924334</v>
      </c>
    </row>
    <row r="10824" spans="1:4" x14ac:dyDescent="0.25">
      <c r="A10824" t="str">
        <f>T("   150910")</f>
        <v xml:space="preserve">   150910</v>
      </c>
      <c r="B10824" t="str">
        <f>T("   Huile d'olive vierge et ses fractions, obtenues, à partir des fruits de l'olivier, uniquement par des procédés mécaniques ou physiques, dans des conditions n'altérant pas l'huile")</f>
        <v xml:space="preserve">   Huile d'olive vierge et ses fractions, obtenues, à partir des fruits de l'olivier, uniquement par des procédés mécaniques ou physiques, dans des conditions n'altérant pas l'huile</v>
      </c>
      <c r="C10824">
        <v>76159</v>
      </c>
      <c r="D10824">
        <v>910</v>
      </c>
    </row>
    <row r="10825" spans="1:4" x14ac:dyDescent="0.25">
      <c r="A10825" t="str">
        <f>T("   151219")</f>
        <v xml:space="preserve">   151219</v>
      </c>
      <c r="B10825" t="str">
        <f>T("   Huiles de tournesol ou de carthame et leurs fractions, même raffinées, mais non chimiquement modifiées (à l'excl. des huiles brutes)")</f>
        <v xml:space="preserve">   Huiles de tournesol ou de carthame et leurs fractions, même raffinées, mais non chimiquement modifiées (à l'excl. des huiles brutes)</v>
      </c>
      <c r="C10825">
        <v>4723272</v>
      </c>
      <c r="D10825">
        <v>20531</v>
      </c>
    </row>
    <row r="10826" spans="1:4" x14ac:dyDescent="0.25">
      <c r="A10826" t="str">
        <f>T("   151620")</f>
        <v xml:space="preserve">   151620</v>
      </c>
      <c r="B10826"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10826">
        <v>4400003</v>
      </c>
      <c r="D10826">
        <v>14893</v>
      </c>
    </row>
    <row r="10827" spans="1:4" x14ac:dyDescent="0.25">
      <c r="A10827" t="str">
        <f>T("   170490")</f>
        <v xml:space="preserve">   170490</v>
      </c>
      <c r="B10827" t="str">
        <f>T("   Sucreries sans cacao, y.c. le chocolat blanc (à l'excl. des gommes à mâcher)")</f>
        <v xml:space="preserve">   Sucreries sans cacao, y.c. le chocolat blanc (à l'excl. des gommes à mâcher)</v>
      </c>
      <c r="C10827">
        <v>4587232</v>
      </c>
      <c r="D10827">
        <v>25541</v>
      </c>
    </row>
    <row r="10828" spans="1:4" x14ac:dyDescent="0.25">
      <c r="A10828" t="str">
        <f>T("   180631")</f>
        <v xml:space="preserve">   180631</v>
      </c>
      <c r="B10828" t="str">
        <f>T("   Chocolat et autres préparations alimentaires contenant du cacao, présentés en tablettes, barres ou bâtons, d'un poids &lt;= 2 kg, fourrés")</f>
        <v xml:space="preserve">   Chocolat et autres préparations alimentaires contenant du cacao, présentés en tablettes, barres ou bâtons, d'un poids &lt;= 2 kg, fourrés</v>
      </c>
      <c r="C10828">
        <v>150449</v>
      </c>
      <c r="D10828">
        <v>207</v>
      </c>
    </row>
    <row r="10829" spans="1:4" x14ac:dyDescent="0.25">
      <c r="A10829" t="str">
        <f>T("   180632")</f>
        <v xml:space="preserve">   180632</v>
      </c>
      <c r="B10829" t="str">
        <f>T("   CHOCOLAT ET AUTRES PRÉPARATIONS ALIMENTAIRES CONTENANT DU CACAO, PRÉSENTÉS EN TABLETTES, BARRES OU BÂTONS, D'UN POIDS &lt;= 2 KG, NON-FOURRÉS")</f>
        <v xml:space="preserve">   CHOCOLAT ET AUTRES PRÉPARATIONS ALIMENTAIRES CONTENANT DU CACAO, PRÉSENTÉS EN TABLETTES, BARRES OU BÂTONS, D'UN POIDS &lt;= 2 KG, NON-FOURRÉS</v>
      </c>
      <c r="C10829">
        <v>2275102</v>
      </c>
      <c r="D10829">
        <v>4296</v>
      </c>
    </row>
    <row r="10830" spans="1:4" x14ac:dyDescent="0.25">
      <c r="A10830" t="str">
        <f>T("   180690")</f>
        <v xml:space="preserve">   180690</v>
      </c>
      <c r="B10830" t="str">
        <f>T("   Chocolat et autres préparations alimentaires contenant du cacao, en récipients ou en emballages immédiats d'un contenu &lt;= 2 kg (à l'excl. de la poudre de cacao et des produits présentés en tablettes, barres ou bâtons)")</f>
        <v xml:space="preserve">   Chocolat et autres préparations alimentaires contenant du cacao, en récipients ou en emballages immédiats d'un contenu &lt;= 2 kg (à l'excl. de la poudre de cacao et des produits présentés en tablettes, barres ou bâtons)</v>
      </c>
      <c r="C10830">
        <v>11785443</v>
      </c>
      <c r="D10830">
        <v>20321</v>
      </c>
    </row>
    <row r="10831" spans="1:4" x14ac:dyDescent="0.25">
      <c r="A10831" t="str">
        <f>T("   190219")</f>
        <v xml:space="preserve">   190219</v>
      </c>
      <c r="B10831" t="str">
        <f>T("   PÂTES ALIMENTAIRES NON-CUITES NI FARCIES NI AUTREMENT PRÉPARÉES, NE CONTENANT PAS D'OEUFS")</f>
        <v xml:space="preserve">   PÂTES ALIMENTAIRES NON-CUITES NI FARCIES NI AUTREMENT PRÉPARÉES, NE CONTENANT PAS D'OEUFS</v>
      </c>
      <c r="C10831">
        <v>265689829</v>
      </c>
      <c r="D10831">
        <v>1265117</v>
      </c>
    </row>
    <row r="10832" spans="1:4" x14ac:dyDescent="0.25">
      <c r="A10832" t="str">
        <f>T("   190220")</f>
        <v xml:space="preserve">   190220</v>
      </c>
      <c r="B10832" t="str">
        <f>T("   Pâtes alimentaires, farcies de viande ou d'autres substances, même cuites ou autrement préparées")</f>
        <v xml:space="preserve">   Pâtes alimentaires, farcies de viande ou d'autres substances, même cuites ou autrement préparées</v>
      </c>
      <c r="C10832">
        <v>15000000</v>
      </c>
      <c r="D10832">
        <v>77250</v>
      </c>
    </row>
    <row r="10833" spans="1:4" x14ac:dyDescent="0.25">
      <c r="A10833" t="str">
        <f>T("   190230")</f>
        <v xml:space="preserve">   190230</v>
      </c>
      <c r="B10833" t="str">
        <f>T("   Pâtes alimentaires, cuites ou autrement préparées (à l'excl. des pâtes alimentaires farcies)")</f>
        <v xml:space="preserve">   Pâtes alimentaires, cuites ou autrement préparées (à l'excl. des pâtes alimentaires farcies)</v>
      </c>
      <c r="C10833">
        <v>225871462</v>
      </c>
      <c r="D10833">
        <v>1353160</v>
      </c>
    </row>
    <row r="10834" spans="1:4" x14ac:dyDescent="0.25">
      <c r="A10834" t="str">
        <f>T("   190240")</f>
        <v xml:space="preserve">   190240</v>
      </c>
      <c r="B10834" t="str">
        <f>T("   Couscous, même préparé")</f>
        <v xml:space="preserve">   Couscous, même préparé</v>
      </c>
      <c r="C10834">
        <v>431415</v>
      </c>
      <c r="D10834">
        <v>1523</v>
      </c>
    </row>
    <row r="10835" spans="1:4" x14ac:dyDescent="0.25">
      <c r="A10835" t="str">
        <f>T("   190531")</f>
        <v xml:space="preserve">   190531</v>
      </c>
      <c r="B10835" t="str">
        <f>T("   Biscuits additionnés d'édulcorants")</f>
        <v xml:space="preserve">   Biscuits additionnés d'édulcorants</v>
      </c>
      <c r="C10835">
        <v>24490557</v>
      </c>
      <c r="D10835">
        <v>55578</v>
      </c>
    </row>
    <row r="10836" spans="1:4" x14ac:dyDescent="0.25">
      <c r="A10836" t="str">
        <f>T("   190532")</f>
        <v xml:space="preserve">   190532</v>
      </c>
      <c r="B10836" t="str">
        <f>T("   GAUFRES ET GAUFRETTES")</f>
        <v xml:space="preserve">   GAUFRES ET GAUFRETTES</v>
      </c>
      <c r="C10836">
        <v>26945602</v>
      </c>
      <c r="D10836">
        <v>69798</v>
      </c>
    </row>
    <row r="10837" spans="1:4" x14ac:dyDescent="0.25">
      <c r="A10837" t="str">
        <f>T("   190590")</f>
        <v xml:space="preserve">   190590</v>
      </c>
      <c r="B10837" t="s">
        <v>51</v>
      </c>
      <c r="C10837">
        <v>6787916</v>
      </c>
      <c r="D10837">
        <v>21153</v>
      </c>
    </row>
    <row r="10838" spans="1:4" x14ac:dyDescent="0.25">
      <c r="A10838" t="str">
        <f>T("   200290")</f>
        <v xml:space="preserve">   200290</v>
      </c>
      <c r="B10838"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10838">
        <v>4080034</v>
      </c>
      <c r="D10838">
        <v>9000</v>
      </c>
    </row>
    <row r="10839" spans="1:4" x14ac:dyDescent="0.25">
      <c r="A10839" t="str">
        <f>T("   200919")</f>
        <v xml:space="preserve">   200919</v>
      </c>
      <c r="B10839" t="str">
        <f>T("   JUS D'ORANGE, NON-FERMENTÉS, SANS ADDITION D'ALCOOL, AVEC OU SANS ADDITION DE SUCRE OU D'AUTRES ÉDULCORANTS (À L'EXCL. DES JUS CONGELÉS ET DES JUS D'UNE VALEUR BRIX &lt;= 20 À 20°C)")</f>
        <v xml:space="preserve">   JUS D'ORANGE, NON-FERMENTÉS, SANS ADDITION D'ALCOOL, AVEC OU SANS ADDITION DE SUCRE OU D'AUTRES ÉDULCORANTS (À L'EXCL. DES JUS CONGELÉS ET DES JUS D'UNE VALEUR BRIX &lt;= 20 À 20°C)</v>
      </c>
      <c r="C10839">
        <v>6463244</v>
      </c>
      <c r="D10839">
        <v>17700</v>
      </c>
    </row>
    <row r="10840" spans="1:4" x14ac:dyDescent="0.25">
      <c r="A10840" t="str">
        <f>T("   200980")</f>
        <v xml:space="preserve">   200980</v>
      </c>
      <c r="B10840"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10840">
        <v>4955521</v>
      </c>
      <c r="D10840">
        <v>16677</v>
      </c>
    </row>
    <row r="10841" spans="1:4" x14ac:dyDescent="0.25">
      <c r="A10841" t="str">
        <f>T("   200990")</f>
        <v xml:space="preserve">   200990</v>
      </c>
      <c r="B10841"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10841">
        <v>3908427</v>
      </c>
      <c r="D10841">
        <v>19578</v>
      </c>
    </row>
    <row r="10842" spans="1:4" x14ac:dyDescent="0.25">
      <c r="A10842" t="str">
        <f>T("   210220")</f>
        <v xml:space="preserve">   210220</v>
      </c>
      <c r="B10842" t="str">
        <f>T("   Levures mortes; autres micro-organismes monocellulaires morts (à l'excl. des micro-organismes monocellulaires conditionnés comme médicaments)")</f>
        <v xml:space="preserve">   Levures mortes; autres micro-organismes monocellulaires morts (à l'excl. des micro-organismes monocellulaires conditionnés comme médicaments)</v>
      </c>
      <c r="C10842">
        <v>176640472</v>
      </c>
      <c r="D10842">
        <v>138375</v>
      </c>
    </row>
    <row r="10843" spans="1:4" x14ac:dyDescent="0.25">
      <c r="A10843" t="str">
        <f>T("   210690")</f>
        <v xml:space="preserve">   210690</v>
      </c>
      <c r="B10843" t="str">
        <f>T("   Préparations alimentaires, n.d.a.")</f>
        <v xml:space="preserve">   Préparations alimentaires, n.d.a.</v>
      </c>
      <c r="C10843">
        <v>40341428</v>
      </c>
      <c r="D10843">
        <v>31800</v>
      </c>
    </row>
    <row r="10844" spans="1:4" x14ac:dyDescent="0.25">
      <c r="A10844" t="str">
        <f>T("   220110")</f>
        <v xml:space="preserve">   220110</v>
      </c>
      <c r="B10844" t="str">
        <f>T("   Eaux minérales et eaux gazéifiées, non additionnées de sucre ou d'autres édulcorants ni aromatisées")</f>
        <v xml:space="preserve">   Eaux minérales et eaux gazéifiées, non additionnées de sucre ou d'autres édulcorants ni aromatisées</v>
      </c>
      <c r="C10844">
        <v>2150207</v>
      </c>
      <c r="D10844">
        <v>20298</v>
      </c>
    </row>
    <row r="10845" spans="1:4" x14ac:dyDescent="0.25">
      <c r="A10845" t="str">
        <f>T("   220210")</f>
        <v xml:space="preserve">   220210</v>
      </c>
      <c r="B10845"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10845">
        <v>6721</v>
      </c>
      <c r="D10845">
        <v>1090</v>
      </c>
    </row>
    <row r="10846" spans="1:4" x14ac:dyDescent="0.25">
      <c r="A10846" t="str">
        <f>T("   220290")</f>
        <v xml:space="preserve">   220290</v>
      </c>
      <c r="B10846" t="str">
        <f>T("   BOISSONS NON-ALCOOLIQUES (À L'EXCL. DES EAUX, DES JUS DE FRUITS OU DE LÉGUMES AINSI QUE DU LAIT)")</f>
        <v xml:space="preserve">   BOISSONS NON-ALCOOLIQUES (À L'EXCL. DES EAUX, DES JUS DE FRUITS OU DE LÉGUMES AINSI QUE DU LAIT)</v>
      </c>
      <c r="C10846">
        <v>14235257</v>
      </c>
      <c r="D10846">
        <v>56461</v>
      </c>
    </row>
    <row r="10847" spans="1:4" x14ac:dyDescent="0.25">
      <c r="A10847" t="str">
        <f>T("   220300")</f>
        <v xml:space="preserve">   220300</v>
      </c>
      <c r="B10847" t="str">
        <f>T("   Bières de malt")</f>
        <v xml:space="preserve">   Bières de malt</v>
      </c>
      <c r="C10847">
        <v>129767978</v>
      </c>
      <c r="D10847">
        <v>544781</v>
      </c>
    </row>
    <row r="10848" spans="1:4" x14ac:dyDescent="0.25">
      <c r="A10848" t="str">
        <f>T("   250100")</f>
        <v xml:space="preserve">   250100</v>
      </c>
      <c r="B10848" t="s">
        <v>63</v>
      </c>
      <c r="C10848">
        <v>4432550</v>
      </c>
      <c r="D10848">
        <v>102400</v>
      </c>
    </row>
    <row r="10849" spans="1:4" x14ac:dyDescent="0.25">
      <c r="A10849" t="str">
        <f>T("   252020")</f>
        <v xml:space="preserve">   252020</v>
      </c>
      <c r="B10849" t="str">
        <f>T("   Plâtres, même colorés ou additionnés de faibles quantités d'accélérateurs ou de retardateurs")</f>
        <v xml:space="preserve">   Plâtres, même colorés ou additionnés de faibles quantités d'accélérateurs ou de retardateurs</v>
      </c>
      <c r="C10849">
        <v>1437992</v>
      </c>
      <c r="D10849">
        <v>28294</v>
      </c>
    </row>
    <row r="10850" spans="1:4" x14ac:dyDescent="0.25">
      <c r="A10850" t="str">
        <f>T("   252329")</f>
        <v xml:space="preserve">   252329</v>
      </c>
      <c r="B10850" t="str">
        <f>T("   Ciment Portland normal ou modéré (à l'excl. des ciments Portland blancs, même colorés artificiellement)")</f>
        <v xml:space="preserve">   Ciment Portland normal ou modéré (à l'excl. des ciments Portland blancs, même colorés artificiellement)</v>
      </c>
      <c r="C10850">
        <v>501600000</v>
      </c>
      <c r="D10850">
        <v>13200000</v>
      </c>
    </row>
    <row r="10851" spans="1:4" x14ac:dyDescent="0.25">
      <c r="A10851" t="str">
        <f>T("   252390")</f>
        <v xml:space="preserve">   252390</v>
      </c>
      <c r="B10851" t="str">
        <f>T("   Ciments, même colorés (à l'excl. des ciments Portland et des ciments alumineux)")</f>
        <v xml:space="preserve">   Ciments, même colorés (à l'excl. des ciments Portland et des ciments alumineux)</v>
      </c>
      <c r="C10851">
        <v>462000000</v>
      </c>
      <c r="D10851">
        <v>13200000</v>
      </c>
    </row>
    <row r="10852" spans="1:4" x14ac:dyDescent="0.25">
      <c r="A10852" t="str">
        <f>T("   271019")</f>
        <v xml:space="preserve">   271019</v>
      </c>
      <c r="B10852" t="str">
        <f>T("   Huiles moyennes et préparations, de pétrole ou de minéraux bitumineux, n.d.a.")</f>
        <v xml:space="preserve">   Huiles moyennes et préparations, de pétrole ou de minéraux bitumineux, n.d.a.</v>
      </c>
      <c r="C10852">
        <v>4363005325</v>
      </c>
      <c r="D10852">
        <v>17113479</v>
      </c>
    </row>
    <row r="10853" spans="1:4" x14ac:dyDescent="0.25">
      <c r="A10853" t="str">
        <f>T("   320910")</f>
        <v xml:space="preserve">   320910</v>
      </c>
      <c r="B10853" t="str">
        <f>T("   Peintures et vernis à base de polymères acryliques ou vinyliques, dispersés ou dissous dans un milieu aqueux")</f>
        <v xml:space="preserve">   Peintures et vernis à base de polymères acryliques ou vinyliques, dispersés ou dissous dans un milieu aqueux</v>
      </c>
      <c r="C10853">
        <v>607419</v>
      </c>
      <c r="D10853">
        <v>682</v>
      </c>
    </row>
    <row r="10854" spans="1:4" x14ac:dyDescent="0.25">
      <c r="A10854" t="str">
        <f>T("   321490")</f>
        <v xml:space="preserve">   321490</v>
      </c>
      <c r="B10854" t="str">
        <f>T("   Enduits non réfractaires des types utilisés en maçonnerie")</f>
        <v xml:space="preserve">   Enduits non réfractaires des types utilisés en maçonnerie</v>
      </c>
      <c r="C10854">
        <v>1301915</v>
      </c>
      <c r="D10854">
        <v>23375</v>
      </c>
    </row>
    <row r="10855" spans="1:4" x14ac:dyDescent="0.25">
      <c r="A10855" t="str">
        <f>T("   330300")</f>
        <v xml:space="preserve">   330300</v>
      </c>
      <c r="B10855" t="str">
        <f>T("   Parfums et eaux de toilette (à l'excl. des préparations pour l'après-rasage [lotions after-shave] et des désodorisants corporels)")</f>
        <v xml:space="preserve">   Parfums et eaux de toilette (à l'excl. des préparations pour l'après-rasage [lotions after-shave] et des désodorisants corporels)</v>
      </c>
      <c r="C10855">
        <v>1983758</v>
      </c>
      <c r="D10855">
        <v>2124</v>
      </c>
    </row>
    <row r="10856" spans="1:4" x14ac:dyDescent="0.25">
      <c r="A10856" t="str">
        <f>T("   330720")</f>
        <v xml:space="preserve">   330720</v>
      </c>
      <c r="B10856" t="str">
        <f>T("   Désodorisants corporels et antisudoraux, préparés")</f>
        <v xml:space="preserve">   Désodorisants corporels et antisudoraux, préparés</v>
      </c>
      <c r="C10856">
        <v>5988040</v>
      </c>
      <c r="D10856">
        <v>8325</v>
      </c>
    </row>
    <row r="10857" spans="1:4" x14ac:dyDescent="0.25">
      <c r="A10857" t="str">
        <f>T("   340120")</f>
        <v xml:space="preserve">   340120</v>
      </c>
      <c r="B10857" t="str">
        <f>T("   Savons en flocons, en paillettes, en granulés ou en poudres et savons liquides ou pâteux")</f>
        <v xml:space="preserve">   Savons en flocons, en paillettes, en granulés ou en poudres et savons liquides ou pâteux</v>
      </c>
      <c r="C10857">
        <v>1466143</v>
      </c>
      <c r="D10857">
        <v>2647.56</v>
      </c>
    </row>
    <row r="10858" spans="1:4" x14ac:dyDescent="0.25">
      <c r="A10858" t="str">
        <f>T("   381121")</f>
        <v xml:space="preserve">   381121</v>
      </c>
      <c r="B10858" t="str">
        <f>T("   Additifs préparés pour huiles lubrifiantes, contenant des huiles de pétrole ou de minéraux bitumineux")</f>
        <v xml:space="preserve">   Additifs préparés pour huiles lubrifiantes, contenant des huiles de pétrole ou de minéraux bitumineux</v>
      </c>
      <c r="C10858">
        <v>1015743</v>
      </c>
      <c r="D10858">
        <v>2225</v>
      </c>
    </row>
    <row r="10859" spans="1:4" x14ac:dyDescent="0.25">
      <c r="A10859" t="str">
        <f>T("   381900")</f>
        <v xml:space="preserve">   381900</v>
      </c>
      <c r="B10859" t="str">
        <f>T("   Liquides pour freins hydrauliques et autres liquides préparés pour transmissions hydrauliques, ne contenant ni huiles de pétrole ni huiles de minéraux bitumineux ou en contenant &lt; 70% en poids")</f>
        <v xml:space="preserve">   Liquides pour freins hydrauliques et autres liquides préparés pour transmissions hydrauliques, ne contenant ni huiles de pétrole ni huiles de minéraux bitumineux ou en contenant &lt; 70% en poids</v>
      </c>
      <c r="C10859">
        <v>1885284</v>
      </c>
      <c r="D10859">
        <v>7465</v>
      </c>
    </row>
    <row r="10860" spans="1:4" x14ac:dyDescent="0.25">
      <c r="A10860" t="str">
        <f>T("   382490")</f>
        <v xml:space="preserve">   382490</v>
      </c>
      <c r="B10860" t="str">
        <f>T("   Produits chimiques et préparations des industries chimiques ou des industries connexes, y.c. celles consistant en mélanges de produits naturels, n.d.a.")</f>
        <v xml:space="preserve">   Produits chimiques et préparations des industries chimiques ou des industries connexes, y.c. celles consistant en mélanges de produits naturels, n.d.a.</v>
      </c>
      <c r="C10860">
        <v>3906223</v>
      </c>
      <c r="D10860">
        <v>83943</v>
      </c>
    </row>
    <row r="10861" spans="1:4" x14ac:dyDescent="0.25">
      <c r="A10861" t="str">
        <f>T("   390750")</f>
        <v xml:space="preserve">   390750</v>
      </c>
      <c r="B10861" t="str">
        <f>T("   Résines alkydes, sous formes primaires")</f>
        <v xml:space="preserve">   Résines alkydes, sous formes primaires</v>
      </c>
      <c r="C10861">
        <v>38238498</v>
      </c>
      <c r="D10861">
        <v>59292</v>
      </c>
    </row>
    <row r="10862" spans="1:4" x14ac:dyDescent="0.25">
      <c r="A10862" t="str">
        <f>T("   392049")</f>
        <v xml:space="preserve">   392049</v>
      </c>
      <c r="B10862" t="s">
        <v>138</v>
      </c>
      <c r="C10862">
        <v>594394</v>
      </c>
      <c r="D10862">
        <v>3950</v>
      </c>
    </row>
    <row r="10863" spans="1:4" x14ac:dyDescent="0.25">
      <c r="A10863" t="str">
        <f>T("   392114")</f>
        <v xml:space="preserve">   392114</v>
      </c>
      <c r="B10863" t="s">
        <v>147</v>
      </c>
      <c r="C10863">
        <v>37121</v>
      </c>
      <c r="D10863">
        <v>69.61</v>
      </c>
    </row>
    <row r="10864" spans="1:4" x14ac:dyDescent="0.25">
      <c r="A10864" t="str">
        <f>T("   392220")</f>
        <v xml:space="preserve">   392220</v>
      </c>
      <c r="B10864" t="str">
        <f>T("   Sièges et couvercles de cuvettes d'aisance, en matières plastiques")</f>
        <v xml:space="preserve">   Sièges et couvercles de cuvettes d'aisance, en matières plastiques</v>
      </c>
      <c r="C10864">
        <v>6560</v>
      </c>
      <c r="D10864">
        <v>2</v>
      </c>
    </row>
    <row r="10865" spans="1:4" x14ac:dyDescent="0.25">
      <c r="A10865" t="str">
        <f>T("   392350")</f>
        <v xml:space="preserve">   392350</v>
      </c>
      <c r="B10865" t="str">
        <f>T("   Bouchons, couvercles, capsules et autres dispositifs de fermeture, en matières plastiques")</f>
        <v xml:space="preserve">   Bouchons, couvercles, capsules et autres dispositifs de fermeture, en matières plastiques</v>
      </c>
      <c r="C10865">
        <v>12892881</v>
      </c>
      <c r="D10865">
        <v>9630</v>
      </c>
    </row>
    <row r="10866" spans="1:4" x14ac:dyDescent="0.25">
      <c r="A10866" t="str">
        <f>T("   392620")</f>
        <v xml:space="preserve">   392620</v>
      </c>
      <c r="B10866" t="str">
        <f>T("   Vêtements et accessoires du vêtement, y.c. les gants, mitaines et moufles, fabriqués par couture ou collage à partir de feuilles en matières plastiques")</f>
        <v xml:space="preserve">   Vêtements et accessoires du vêtement, y.c. les gants, mitaines et moufles, fabriqués par couture ou collage à partir de feuilles en matières plastiques</v>
      </c>
      <c r="C10866">
        <v>141405</v>
      </c>
      <c r="D10866">
        <v>346</v>
      </c>
    </row>
    <row r="10867" spans="1:4" x14ac:dyDescent="0.25">
      <c r="A10867" t="str">
        <f>T("   392690")</f>
        <v xml:space="preserve">   392690</v>
      </c>
      <c r="B10867" t="str">
        <f>T("   Ouvrages en matières plastiques et ouvrages en autres matières du n° 3901 à 3914, n.d.a.")</f>
        <v xml:space="preserve">   Ouvrages en matières plastiques et ouvrages en autres matières du n° 3901 à 3914, n.d.a.</v>
      </c>
      <c r="C10867">
        <v>571</v>
      </c>
      <c r="D10867">
        <v>400</v>
      </c>
    </row>
    <row r="10868" spans="1:4" x14ac:dyDescent="0.25">
      <c r="A10868" t="str">
        <f>T("   401120")</f>
        <v xml:space="preserve">   401120</v>
      </c>
      <c r="B10868"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10868">
        <v>5020000</v>
      </c>
      <c r="D10868">
        <v>4020</v>
      </c>
    </row>
    <row r="10869" spans="1:4" x14ac:dyDescent="0.25">
      <c r="A10869" t="str">
        <f>T("   480256")</f>
        <v xml:space="preserve">   480256</v>
      </c>
      <c r="B10869" t="s">
        <v>194</v>
      </c>
      <c r="C10869">
        <v>2500000</v>
      </c>
      <c r="D10869">
        <v>6460</v>
      </c>
    </row>
    <row r="10870" spans="1:4" x14ac:dyDescent="0.25">
      <c r="A10870" t="str">
        <f>T("   481840")</f>
        <v xml:space="preserve">   481840</v>
      </c>
      <c r="B10870"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10870">
        <v>51184003</v>
      </c>
      <c r="D10870">
        <v>31341.32</v>
      </c>
    </row>
    <row r="10871" spans="1:4" x14ac:dyDescent="0.25">
      <c r="A10871" t="str">
        <f>T("   482010")</f>
        <v xml:space="preserve">   482010</v>
      </c>
      <c r="B10871" t="str">
        <f>T("   Registres, livres comptables, carnets de notes, de commandes ou de quittances, blocs-mémorandums, blocs de papier à lettres, agendas et ouvrages simil., en papier ou carton")</f>
        <v xml:space="preserve">   Registres, livres comptables, carnets de notes, de commandes ou de quittances, blocs-mémorandums, blocs de papier à lettres, agendas et ouvrages simil., en papier ou carton</v>
      </c>
      <c r="C10871">
        <v>735</v>
      </c>
      <c r="D10871">
        <v>10</v>
      </c>
    </row>
    <row r="10872" spans="1:4" x14ac:dyDescent="0.25">
      <c r="A10872" t="str">
        <f>T("   491000")</f>
        <v xml:space="preserve">   491000</v>
      </c>
      <c r="B10872" t="str">
        <f>T("   Calendriers de tous genres, imprimés, y.c. les blocs de calendriers à effeuiller")</f>
        <v xml:space="preserve">   Calendriers de tous genres, imprimés, y.c. les blocs de calendriers à effeuiller</v>
      </c>
      <c r="C10872">
        <v>146774</v>
      </c>
      <c r="D10872">
        <v>89</v>
      </c>
    </row>
    <row r="10873" spans="1:4" x14ac:dyDescent="0.25">
      <c r="A10873" t="str">
        <f>T("   491110")</f>
        <v xml:space="preserve">   491110</v>
      </c>
      <c r="B10873" t="str">
        <f>T("   Imprimés publicitaires, catalogues commerciaux et simil.")</f>
        <v xml:space="preserve">   Imprimés publicitaires, catalogues commerciaux et simil.</v>
      </c>
      <c r="C10873">
        <v>8201</v>
      </c>
      <c r="D10873">
        <v>190</v>
      </c>
    </row>
    <row r="10874" spans="1:4" x14ac:dyDescent="0.25">
      <c r="A10874" t="str">
        <f>T("   551219")</f>
        <v xml:space="preserve">   551219</v>
      </c>
      <c r="B10874" t="str">
        <f>T("   Tissus, teints, imprimés ou en fils de diverses couleurs, de fibres discontinues de polyester, contenant &gt;= 85% en poids de ces fibres")</f>
        <v xml:space="preserve">   Tissus, teints, imprimés ou en fils de diverses couleurs, de fibres discontinues de polyester, contenant &gt;= 85% en poids de ces fibres</v>
      </c>
      <c r="C10874">
        <v>118399</v>
      </c>
      <c r="D10874">
        <v>60</v>
      </c>
    </row>
    <row r="10875" spans="1:4" x14ac:dyDescent="0.25">
      <c r="A10875" t="str">
        <f>T("   560121")</f>
        <v xml:space="preserve">   560121</v>
      </c>
      <c r="B10875" t="s">
        <v>244</v>
      </c>
      <c r="C10875">
        <v>4165418</v>
      </c>
      <c r="D10875">
        <v>5454.51</v>
      </c>
    </row>
    <row r="10876" spans="1:4" x14ac:dyDescent="0.25">
      <c r="A10876" t="str">
        <f>T("   560750")</f>
        <v xml:space="preserve">   560750</v>
      </c>
      <c r="B10876" t="str">
        <f>T("   Ficelles, cordes et cordages, de fibres synthétiques, tressés ou non, même imprégnés, enduits, recouverts ou gainés de caoutchouc ou de matière plastique (à l'excl. des produits en polyéthylène ou en polypropylène)")</f>
        <v xml:space="preserve">   Ficelles, cordes et cordages, de fibres synthétiques, tressés ou non, même imprégnés, enduits, recouverts ou gainés de caoutchouc ou de matière plastique (à l'excl. des produits en polyéthylène ou en polypropylène)</v>
      </c>
      <c r="C10876">
        <v>197492</v>
      </c>
      <c r="D10876">
        <v>2402</v>
      </c>
    </row>
    <row r="10877" spans="1:4" x14ac:dyDescent="0.25">
      <c r="A10877" t="str">
        <f>T("   570110")</f>
        <v xml:space="preserve">   570110</v>
      </c>
      <c r="B10877" t="str">
        <f>T("   Tapis de laine ou de poils fins, à points noués ou enroulés, même confectionnés")</f>
        <v xml:space="preserve">   Tapis de laine ou de poils fins, à points noués ou enroulés, même confectionnés</v>
      </c>
      <c r="C10877">
        <v>455383</v>
      </c>
      <c r="D10877">
        <v>400</v>
      </c>
    </row>
    <row r="10878" spans="1:4" x14ac:dyDescent="0.25">
      <c r="A10878" t="str">
        <f>T("   590110")</f>
        <v xml:space="preserve">   590110</v>
      </c>
      <c r="B10878" t="str">
        <f>T("   Tissus enduits de colle ou de matières amylacées, des types utilisés pour la reliure, le cartonnage, la gainerie ou usages simil.")</f>
        <v xml:space="preserve">   Tissus enduits de colle ou de matières amylacées, des types utilisés pour la reliure, le cartonnage, la gainerie ou usages simil.</v>
      </c>
      <c r="C10878">
        <v>3281112</v>
      </c>
      <c r="D10878">
        <v>7587</v>
      </c>
    </row>
    <row r="10879" spans="1:4" x14ac:dyDescent="0.25">
      <c r="A10879" t="str">
        <f>T("   610910")</f>
        <v xml:space="preserve">   610910</v>
      </c>
      <c r="B10879" t="str">
        <f>T("   T-shirts et maillots de corps, en bonneterie, de coton,")</f>
        <v xml:space="preserve">   T-shirts et maillots de corps, en bonneterie, de coton,</v>
      </c>
      <c r="C10879">
        <v>19377</v>
      </c>
      <c r="D10879">
        <v>26</v>
      </c>
    </row>
    <row r="10880" spans="1:4" x14ac:dyDescent="0.25">
      <c r="A10880" t="str">
        <f>T("   610990")</f>
        <v xml:space="preserve">   610990</v>
      </c>
      <c r="B10880" t="str">
        <f>T("   T-shirts et maillots de corps, en bonneterie, de matières textiles (sauf de coton)")</f>
        <v xml:space="preserve">   T-shirts et maillots de corps, en bonneterie, de matières textiles (sauf de coton)</v>
      </c>
      <c r="C10880">
        <v>207980</v>
      </c>
      <c r="D10880">
        <v>146</v>
      </c>
    </row>
    <row r="10881" spans="1:4" x14ac:dyDescent="0.25">
      <c r="A10881" t="str">
        <f>T("   620349")</f>
        <v xml:space="preserve">   620349</v>
      </c>
      <c r="B10881" t="s">
        <v>266</v>
      </c>
      <c r="C10881">
        <v>177880</v>
      </c>
      <c r="D10881">
        <v>118</v>
      </c>
    </row>
    <row r="10882" spans="1:4" x14ac:dyDescent="0.25">
      <c r="A10882" t="str">
        <f>T("   620520")</f>
        <v xml:space="preserve">   620520</v>
      </c>
      <c r="B10882" t="str">
        <f>T("   Chemises et chemisettes, de coton, pour hommes ou garçonnets (autres qu'en bonneterie et sauf chemises de nuit et gilets de corps)")</f>
        <v xml:space="preserve">   Chemises et chemisettes, de coton, pour hommes ou garçonnets (autres qu'en bonneterie et sauf chemises de nuit et gilets de corps)</v>
      </c>
      <c r="C10882">
        <v>2876</v>
      </c>
      <c r="D10882">
        <v>10</v>
      </c>
    </row>
    <row r="10883" spans="1:4" x14ac:dyDescent="0.25">
      <c r="A10883" t="str">
        <f>T("   630499")</f>
        <v xml:space="preserve">   630499</v>
      </c>
      <c r="B10883" t="s">
        <v>277</v>
      </c>
      <c r="C10883">
        <v>144764</v>
      </c>
      <c r="D10883">
        <v>120</v>
      </c>
    </row>
    <row r="10884" spans="1:4" x14ac:dyDescent="0.25">
      <c r="A10884" t="str">
        <f>T("   650400")</f>
        <v xml:space="preserve">   650400</v>
      </c>
      <c r="B10884" t="str">
        <f>T("   Chapeaux et autres coiffures, tressés ou fabriqués par l'assemblage de bandes en toutes matières, même garnis (sauf coiffures pour animaux ou ayant le caractère de jouets ou d'articles de carnaval)")</f>
        <v xml:space="preserve">   Chapeaux et autres coiffures, tressés ou fabriqués par l'assemblage de bandes en toutes matières, même garnis (sauf coiffures pour animaux ou ayant le caractère de jouets ou d'articles de carnaval)</v>
      </c>
      <c r="C10884">
        <v>21287</v>
      </c>
      <c r="D10884">
        <v>12</v>
      </c>
    </row>
    <row r="10885" spans="1:4" x14ac:dyDescent="0.25">
      <c r="A10885" t="str">
        <f>T("   691010")</f>
        <v xml:space="preserve">   691010</v>
      </c>
      <c r="B10885" t="s">
        <v>312</v>
      </c>
      <c r="C10885">
        <v>2790455</v>
      </c>
      <c r="D10885">
        <v>6121</v>
      </c>
    </row>
    <row r="10886" spans="1:4" x14ac:dyDescent="0.25">
      <c r="A10886" t="str">
        <f>T("   691200")</f>
        <v xml:space="preserve">   691200</v>
      </c>
      <c r="B10886" t="s">
        <v>316</v>
      </c>
      <c r="C10886">
        <v>2399725</v>
      </c>
      <c r="D10886">
        <v>1287</v>
      </c>
    </row>
    <row r="10887" spans="1:4" x14ac:dyDescent="0.25">
      <c r="A10887" t="str">
        <f>T("   700992")</f>
        <v xml:space="preserve">   700992</v>
      </c>
      <c r="B10887" t="str">
        <f>T("   Miroirs, en verre encadrés (sauf miroirs rétroviseurs pour véhicules)")</f>
        <v xml:space="preserve">   Miroirs, en verre encadrés (sauf miroirs rétroviseurs pour véhicules)</v>
      </c>
      <c r="C10887">
        <v>1234169</v>
      </c>
      <c r="D10887">
        <v>293</v>
      </c>
    </row>
    <row r="10888" spans="1:4" x14ac:dyDescent="0.25">
      <c r="A10888" t="str">
        <f>T("   701329")</f>
        <v xml:space="preserve">   701329</v>
      </c>
      <c r="B10888" t="str">
        <f>T("   Verres à boire (autres qu'en vitrocérame, autres qu'en cristal au plomb)")</f>
        <v xml:space="preserve">   Verres à boire (autres qu'en vitrocérame, autres qu'en cristal au plomb)</v>
      </c>
      <c r="C10888">
        <v>74299</v>
      </c>
      <c r="D10888">
        <v>250</v>
      </c>
    </row>
    <row r="10889" spans="1:4" x14ac:dyDescent="0.25">
      <c r="A10889" t="str">
        <f>T("   721391")</f>
        <v xml:space="preserve">   721391</v>
      </c>
      <c r="B10889"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10889">
        <v>1109733430</v>
      </c>
      <c r="D10889">
        <v>2566700</v>
      </c>
    </row>
    <row r="10890" spans="1:4" x14ac:dyDescent="0.25">
      <c r="A10890" t="str">
        <f>T("   721420")</f>
        <v xml:space="preserve">   721420</v>
      </c>
      <c r="B10890" t="str">
        <f>T("   BARRES EN FER OU EN ACIERS NON ALLIÉS, COMPORTANT DES INDENTATIONS, BOURRELETS, CREUX OU RELIEFS OBTENUS AU COURS DU LAMINAGE OU AYANT SUBI UNE TORSION APRÈS LAMINAGE")</f>
        <v xml:space="preserve">   BARRES EN FER OU EN ACIERS NON ALLIÉS, COMPORTANT DES INDENTATIONS, BOURRELETS, CREUX OU RELIEFS OBTENUS AU COURS DU LAMINAGE OU AYANT SUBI UNE TORSION APRÈS LAMINAGE</v>
      </c>
      <c r="C10890">
        <v>53423861</v>
      </c>
      <c r="D10890">
        <v>377450</v>
      </c>
    </row>
    <row r="10891" spans="1:4" x14ac:dyDescent="0.25">
      <c r="A10891" t="str">
        <f>T("   721499")</f>
        <v xml:space="preserve">   721499</v>
      </c>
      <c r="B10891" t="s">
        <v>346</v>
      </c>
      <c r="C10891">
        <v>324152458</v>
      </c>
      <c r="D10891">
        <v>2391250</v>
      </c>
    </row>
    <row r="10892" spans="1:4" x14ac:dyDescent="0.25">
      <c r="A10892" t="str">
        <f>T("   721699")</f>
        <v xml:space="preserve">   721699</v>
      </c>
      <c r="B10892" t="s">
        <v>347</v>
      </c>
      <c r="C10892">
        <v>6444261</v>
      </c>
      <c r="D10892">
        <v>20100</v>
      </c>
    </row>
    <row r="10893" spans="1:4" x14ac:dyDescent="0.25">
      <c r="A10893" t="str">
        <f>T("   722230")</f>
        <v xml:space="preserve">   722230</v>
      </c>
      <c r="B10893" t="str">
        <f>T("   BARRES, EN ACIERS INOXYDABLES, OBTENUES OU PARACHEVÉES À FROID ET AYANT SUBI CERTAINES OUVRAISONS PLUS POUSSÉES OU SIMPL. FORGÉES OU FORGÉES OU AUTREMENT OBTENUES À CHAUD ET AYANT SUBI CERTAINES OUVRAISONS PLUS POUSSÉES, N.D.A.")</f>
        <v xml:space="preserve">   BARRES, EN ACIERS INOXYDABLES, OBTENUES OU PARACHEVÉES À FROID ET AYANT SUBI CERTAINES OUVRAISONS PLUS POUSSÉES OU SIMPL. FORGÉES OU FORGÉES OU AUTREMENT OBTENUES À CHAUD ET AYANT SUBI CERTAINES OUVRAISONS PLUS POUSSÉES, N.D.A.</v>
      </c>
      <c r="C10893">
        <v>74394453</v>
      </c>
      <c r="D10893">
        <v>281580</v>
      </c>
    </row>
    <row r="10894" spans="1:4" x14ac:dyDescent="0.25">
      <c r="A10894" t="str">
        <f>T("   722860")</f>
        <v xml:space="preserve">   722860</v>
      </c>
      <c r="B10894" t="str">
        <f>T("   Barres en aciers alliés autres qu'aciers inoxydables, obtenues ou parachevées à froid et autrement traitées, ou obtenues à chaud et autrement traitées n.d.a. (sauf en aciers à coupe rapide ou aciers silicomanganeux)")</f>
        <v xml:space="preserve">   Barres en aciers alliés autres qu'aciers inoxydables, obtenues ou parachevées à froid et autrement traitées, ou obtenues à chaud et autrement traitées n.d.a. (sauf en aciers à coupe rapide ou aciers silicomanganeux)</v>
      </c>
      <c r="C10894">
        <v>134664348</v>
      </c>
      <c r="D10894">
        <v>948100</v>
      </c>
    </row>
    <row r="10895" spans="1:4" x14ac:dyDescent="0.25">
      <c r="A10895" t="str">
        <f>T("   730660")</f>
        <v xml:space="preserve">   730660</v>
      </c>
      <c r="B10895" t="s">
        <v>354</v>
      </c>
      <c r="C10895">
        <v>2072230</v>
      </c>
      <c r="D10895">
        <v>9000</v>
      </c>
    </row>
    <row r="10896" spans="1:4" x14ac:dyDescent="0.25">
      <c r="A10896" t="str">
        <f>T("   732111")</f>
        <v xml:space="preserve">   732111</v>
      </c>
      <c r="B10896" t="s">
        <v>361</v>
      </c>
      <c r="C10896">
        <v>44231798</v>
      </c>
      <c r="D10896">
        <v>36952</v>
      </c>
    </row>
    <row r="10897" spans="1:4" x14ac:dyDescent="0.25">
      <c r="A10897" t="str">
        <f>T("   732113")</f>
        <v xml:space="preserve">   732113</v>
      </c>
      <c r="B10897" t="str">
        <f>T("   Appareils de cuisson tels que foyers de cuisson, barbecues, grilloirs, réchauds et cuisinières, et chauffe-plats, à usage domestique, en fonte, fer ou acier, à combustibles solides (à l'excl. des appareils destinés à la cuisine à grande échelle)")</f>
        <v xml:space="preserve">   Appareils de cuisson tels que foyers de cuisson, barbecues, grilloirs, réchauds et cuisinières, et chauffe-plats, à usage domestique, en fonte, fer ou acier, à combustibles solides (à l'excl. des appareils destinés à la cuisine à grande échelle)</v>
      </c>
      <c r="C10897">
        <v>9736557</v>
      </c>
      <c r="D10897">
        <v>11747</v>
      </c>
    </row>
    <row r="10898" spans="1:4" x14ac:dyDescent="0.25">
      <c r="A10898" t="str">
        <f>T("   732190")</f>
        <v xml:space="preserve">   732190</v>
      </c>
      <c r="B10898" t="str">
        <f>T("   Parties des appareils ménagers chauffants non-électriques du n° 7321, n.d.a.")</f>
        <v xml:space="preserve">   Parties des appareils ménagers chauffants non-électriques du n° 7321, n.d.a.</v>
      </c>
      <c r="C10898">
        <v>260767</v>
      </c>
      <c r="D10898">
        <v>315</v>
      </c>
    </row>
    <row r="10899" spans="1:4" x14ac:dyDescent="0.25">
      <c r="A10899" t="str">
        <f>T("   841510")</f>
        <v xml:space="preserve">   841510</v>
      </c>
      <c r="B10899" t="s">
        <v>399</v>
      </c>
      <c r="C10899">
        <v>206121</v>
      </c>
      <c r="D10899">
        <v>345</v>
      </c>
    </row>
    <row r="10900" spans="1:4" x14ac:dyDescent="0.25">
      <c r="A10900" t="str">
        <f>T("   841810")</f>
        <v xml:space="preserve">   841810</v>
      </c>
      <c r="B10900" t="str">
        <f>T("   Réfrigérateurs et congélateurs-conservateurs combinés, avec portes extérieures séparées")</f>
        <v xml:space="preserve">   Réfrigérateurs et congélateurs-conservateurs combinés, avec portes extérieures séparées</v>
      </c>
      <c r="C10900">
        <v>176631</v>
      </c>
      <c r="D10900">
        <v>720</v>
      </c>
    </row>
    <row r="10901" spans="1:4" x14ac:dyDescent="0.25">
      <c r="A10901" t="str">
        <f>T("   841821")</f>
        <v xml:space="preserve">   841821</v>
      </c>
      <c r="B10901" t="str">
        <f>T("   Réfrigérateurs ménagers à compression")</f>
        <v xml:space="preserve">   Réfrigérateurs ménagers à compression</v>
      </c>
      <c r="C10901">
        <v>5989570</v>
      </c>
      <c r="D10901">
        <v>5155</v>
      </c>
    </row>
    <row r="10902" spans="1:4" x14ac:dyDescent="0.25">
      <c r="A10902" t="str">
        <f>T("   845019")</f>
        <v xml:space="preserve">   845019</v>
      </c>
      <c r="B10902" t="str">
        <f>T("   Machines à laver le linge d'une capacité unitaire exprimée en poids de linge sec &lt;= 6 kg (à l'excl. des machines entièrement automatiques et des machines à laver le linge avec essoreuse centrifuge incorporée)")</f>
        <v xml:space="preserve">   Machines à laver le linge d'une capacité unitaire exprimée en poids de linge sec &lt;= 6 kg (à l'excl. des machines entièrement automatiques et des machines à laver le linge avec essoreuse centrifuge incorporée)</v>
      </c>
      <c r="C10902">
        <v>8878417</v>
      </c>
      <c r="D10902">
        <v>7129</v>
      </c>
    </row>
    <row r="10903" spans="1:4" x14ac:dyDescent="0.25">
      <c r="A10903" t="str">
        <f>T("   846729")</f>
        <v xml:space="preserve">   846729</v>
      </c>
      <c r="B10903" t="str">
        <f>T("   Outils électromécaniques à moteur électrique incorporé, pour emploi à la main (autres que scies et perceuses)")</f>
        <v xml:space="preserve">   Outils électromécaniques à moteur électrique incorporé, pour emploi à la main (autres que scies et perceuses)</v>
      </c>
      <c r="C10903">
        <v>539748</v>
      </c>
      <c r="D10903">
        <v>2152</v>
      </c>
    </row>
    <row r="10904" spans="1:4" x14ac:dyDescent="0.25">
      <c r="A10904" t="str">
        <f>T("   848110")</f>
        <v xml:space="preserve">   848110</v>
      </c>
      <c r="B10904" t="str">
        <f>T("   Détendeurs")</f>
        <v xml:space="preserve">   Détendeurs</v>
      </c>
      <c r="C10904">
        <v>664612</v>
      </c>
      <c r="D10904">
        <v>400</v>
      </c>
    </row>
    <row r="10905" spans="1:4" x14ac:dyDescent="0.25">
      <c r="A10905" t="str">
        <f>T("   848180")</f>
        <v xml:space="preserve">   848180</v>
      </c>
      <c r="B10905"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10905">
        <v>5169280</v>
      </c>
      <c r="D10905">
        <v>1100</v>
      </c>
    </row>
    <row r="10906" spans="1:4" x14ac:dyDescent="0.25">
      <c r="A10906" t="str">
        <f>T("   851650")</f>
        <v xml:space="preserve">   851650</v>
      </c>
      <c r="B10906" t="str">
        <f>T("   Fours à micro-ondes")</f>
        <v xml:space="preserve">   Fours à micro-ondes</v>
      </c>
      <c r="C10906">
        <v>2448041</v>
      </c>
      <c r="D10906">
        <v>1297</v>
      </c>
    </row>
    <row r="10907" spans="1:4" x14ac:dyDescent="0.25">
      <c r="A10907" t="str">
        <f>T("   851660")</f>
        <v xml:space="preserve">   851660</v>
      </c>
      <c r="B10907" t="str">
        <f>T("   Fours, cuisinières, réchauds, tables de cuisson, grils et rôtissoires électriques, pour usages domestiques (sauf fours destinés au chauffage des locaux et fours à micro-ondes)")</f>
        <v xml:space="preserve">   Fours, cuisinières, réchauds, tables de cuisson, grils et rôtissoires électriques, pour usages domestiques (sauf fours destinés au chauffage des locaux et fours à micro-ondes)</v>
      </c>
      <c r="C10907">
        <v>612130</v>
      </c>
      <c r="D10907">
        <v>328</v>
      </c>
    </row>
    <row r="10908" spans="1:4" x14ac:dyDescent="0.25">
      <c r="A10908" t="str">
        <f>T("   851679")</f>
        <v xml:space="preserve">   851679</v>
      </c>
      <c r="B10908" t="s">
        <v>456</v>
      </c>
      <c r="C10908">
        <v>1373817</v>
      </c>
      <c r="D10908">
        <v>604</v>
      </c>
    </row>
    <row r="10909" spans="1:4" x14ac:dyDescent="0.25">
      <c r="A10909" t="str">
        <f>T("   852812")</f>
        <v xml:space="preserve">   852812</v>
      </c>
      <c r="B10909"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10909">
        <v>9719324</v>
      </c>
      <c r="D10909">
        <v>4899</v>
      </c>
    </row>
    <row r="10910" spans="1:4" x14ac:dyDescent="0.25">
      <c r="A10910" t="str">
        <f>T("   852990")</f>
        <v xml:space="preserve">   852990</v>
      </c>
      <c r="B10910" t="s">
        <v>471</v>
      </c>
      <c r="C10910">
        <v>587532</v>
      </c>
      <c r="D10910">
        <v>366</v>
      </c>
    </row>
    <row r="10911" spans="1:4" x14ac:dyDescent="0.25">
      <c r="A10911" t="str">
        <f>T("   853650")</f>
        <v xml:space="preserve">   853650</v>
      </c>
      <c r="B10911" t="str">
        <f>T("   Interrupteurs, sectionneurs et commutateurs, pour une tension &lt;= 1.000 V (autres que relais et disjoncteurs)")</f>
        <v xml:space="preserve">   Interrupteurs, sectionneurs et commutateurs, pour une tension &lt;= 1.000 V (autres que relais et disjoncteurs)</v>
      </c>
      <c r="C10911">
        <v>1397305</v>
      </c>
      <c r="D10911">
        <v>2189</v>
      </c>
    </row>
    <row r="10912" spans="1:4" x14ac:dyDescent="0.25">
      <c r="A10912" t="str">
        <f>T("   853669")</f>
        <v xml:space="preserve">   853669</v>
      </c>
      <c r="B10912" t="str">
        <f>T("   Fiches et prises de courant, pour une tension &lt;= 1.000 V (sauf douilles pour lampes)")</f>
        <v xml:space="preserve">   Fiches et prises de courant, pour une tension &lt;= 1.000 V (sauf douilles pour lampes)</v>
      </c>
      <c r="C10912">
        <v>789490</v>
      </c>
      <c r="D10912">
        <v>1237</v>
      </c>
    </row>
    <row r="10913" spans="1:4" x14ac:dyDescent="0.25">
      <c r="A10913" t="str">
        <f>T("   853710")</f>
        <v xml:space="preserve">   853710</v>
      </c>
      <c r="B10913"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10913">
        <v>4972298</v>
      </c>
      <c r="D10913">
        <v>7789</v>
      </c>
    </row>
    <row r="10914" spans="1:4" x14ac:dyDescent="0.25">
      <c r="A10914" t="str">
        <f>T("   853929")</f>
        <v xml:space="preserve">   853929</v>
      </c>
      <c r="B10914" t="str">
        <f>T("   Lampes et tubes à incandescence électriques (autres que lampes et tubes halogènes, au tungstène, lampes d'une puissance &lt;= 200 W et pour une tension &gt; 100 V, et lampes à rayons ultraviolets ou infrarouges)")</f>
        <v xml:space="preserve">   Lampes et tubes à incandescence électriques (autres que lampes et tubes halogènes, au tungstène, lampes d'une puissance &lt;= 200 W et pour une tension &gt; 100 V, et lampes à rayons ultraviolets ou infrarouges)</v>
      </c>
      <c r="C10914">
        <v>168366</v>
      </c>
      <c r="D10914">
        <v>204</v>
      </c>
    </row>
    <row r="10915" spans="1:4" x14ac:dyDescent="0.25">
      <c r="A10915" t="str">
        <f>T("   854389")</f>
        <v xml:space="preserve">   854389</v>
      </c>
      <c r="B10915" t="str">
        <f>T("   MACHINES ET APPAREILS ÉLECTRIQUES AYANT UNE FONCTION PROPRE, N.D.A. DANS LE CHAPITRE 85")</f>
        <v xml:space="preserve">   MACHINES ET APPAREILS ÉLECTRIQUES AYANT UNE FONCTION PROPRE, N.D.A. DANS LE CHAPITRE 85</v>
      </c>
      <c r="C10915">
        <v>819294</v>
      </c>
      <c r="D10915">
        <v>396</v>
      </c>
    </row>
    <row r="10916" spans="1:4" x14ac:dyDescent="0.25">
      <c r="A10916" t="str">
        <f>T("   854449")</f>
        <v xml:space="preserve">   854449</v>
      </c>
      <c r="B10916" t="str">
        <f>T("   CONDUCTEURS ÉLECTRIQUES, POUR TENSION &lt;= 1.000 V, ISOLÉS, SANS PIÈCES DE CONNEXION, N.D.A.")</f>
        <v xml:space="preserve">   CONDUCTEURS ÉLECTRIQUES, POUR TENSION &lt;= 1.000 V, ISOLÉS, SANS PIÈCES DE CONNEXION, N.D.A.</v>
      </c>
      <c r="C10916">
        <v>28590129</v>
      </c>
      <c r="D10916">
        <v>87868</v>
      </c>
    </row>
    <row r="10917" spans="1:4" x14ac:dyDescent="0.25">
      <c r="A10917" t="str">
        <f>T("   902580")</f>
        <v xml:space="preserve">   902580</v>
      </c>
      <c r="B10917" t="s">
        <v>505</v>
      </c>
      <c r="C10917">
        <v>369305</v>
      </c>
      <c r="D10917">
        <v>74</v>
      </c>
    </row>
    <row r="10918" spans="1:4" x14ac:dyDescent="0.25">
      <c r="A10918" t="str">
        <f>T("   902590")</f>
        <v xml:space="preserve">   902590</v>
      </c>
      <c r="B10918" t="str">
        <f>T("   Parties et accessoires des densimètres, aréomètres, pèse-liquides et instruments flottants simil., des thermomètres, pyromètres, baromètres, hygromètres et psychromètres, n.d.a.")</f>
        <v xml:space="preserve">   Parties et accessoires des densimètres, aréomètres, pèse-liquides et instruments flottants simil., des thermomètres, pyromètres, baromètres, hygromètres et psychromètres, n.d.a.</v>
      </c>
      <c r="C10918">
        <v>101018</v>
      </c>
      <c r="D10918">
        <v>21</v>
      </c>
    </row>
    <row r="10919" spans="1:4" x14ac:dyDescent="0.25">
      <c r="A10919" t="str">
        <f>T("   902780")</f>
        <v xml:space="preserve">   902780</v>
      </c>
      <c r="B10919" t="str">
        <f>T("   Instruments et appareils pour analyses physiques ou chimiques, ou pour essais de viscosité, de porosité, de dilatation, de tension superficielle ou simil. ou pour mesures calorimétriques ou acoustiques ou photométriques, n.d.a.")</f>
        <v xml:space="preserve">   Instruments et appareils pour analyses physiques ou chimiques, ou pour essais de viscosité, de porosité, de dilatation, de tension superficielle ou simil. ou pour mesures calorimétriques ou acoustiques ou photométriques, n.d.a.</v>
      </c>
      <c r="C10919">
        <v>2385246</v>
      </c>
      <c r="D10919">
        <v>4500</v>
      </c>
    </row>
    <row r="10920" spans="1:4" x14ac:dyDescent="0.25">
      <c r="A10920" t="str">
        <f>T("   910310")</f>
        <v xml:space="preserve">   910310</v>
      </c>
      <c r="B10920" t="str">
        <f>T("   Réveils et pendulettes, à mouvement de montre, fonctionnant électriquement (autres que montres-bracelets, montres de poche et montres simil. du n° 9101 ou 9102 ainsi que montres de tableaux de bord et montres simil. du n° 9104)")</f>
        <v xml:space="preserve">   Réveils et pendulettes, à mouvement de montre, fonctionnant électriquement (autres que montres-bracelets, montres de poche et montres simil. du n° 9101 ou 9102 ainsi que montres de tableaux de bord et montres simil. du n° 9104)</v>
      </c>
      <c r="C10920">
        <v>958</v>
      </c>
      <c r="D10920">
        <v>32</v>
      </c>
    </row>
    <row r="10921" spans="1:4" x14ac:dyDescent="0.25">
      <c r="A10921" t="str">
        <f>T("   940161")</f>
        <v xml:space="preserve">   940161</v>
      </c>
      <c r="B10921" t="str">
        <f>T("   Sièges, avec bâti en bois, rembourrés (non transformables en lits)")</f>
        <v xml:space="preserve">   Sièges, avec bâti en bois, rembourrés (non transformables en lits)</v>
      </c>
      <c r="C10921">
        <v>1131745</v>
      </c>
      <c r="D10921">
        <v>2490</v>
      </c>
    </row>
    <row r="10922" spans="1:4" x14ac:dyDescent="0.25">
      <c r="A10922" t="str">
        <f>T("   940360")</f>
        <v xml:space="preserve">   940360</v>
      </c>
      <c r="B10922" t="str">
        <f>T("   Meubles en bois (autres que pour bureaux, cuisines ou chambres à coucher et autres que sièges)")</f>
        <v xml:space="preserve">   Meubles en bois (autres que pour bureaux, cuisines ou chambres à coucher et autres que sièges)</v>
      </c>
      <c r="C10922">
        <v>3239594</v>
      </c>
      <c r="D10922">
        <v>1115</v>
      </c>
    </row>
    <row r="10923" spans="1:4" x14ac:dyDescent="0.25">
      <c r="A10923" t="str">
        <f>T("   960810")</f>
        <v xml:space="preserve">   960810</v>
      </c>
      <c r="B10923" t="str">
        <f>T("   Stylos et crayons à bille")</f>
        <v xml:space="preserve">   Stylos et crayons à bille</v>
      </c>
      <c r="C10923">
        <v>4953</v>
      </c>
      <c r="D10923">
        <v>15</v>
      </c>
    </row>
    <row r="10924" spans="1:4" x14ac:dyDescent="0.25">
      <c r="A10924" t="str">
        <f>T("TT")</f>
        <v>TT</v>
      </c>
      <c r="B10924" t="str">
        <f>T("Trinitad et Tobago")</f>
        <v>Trinitad et Tobago</v>
      </c>
    </row>
    <row r="10925" spans="1:4" x14ac:dyDescent="0.25">
      <c r="A10925" t="str">
        <f>T("   ZZ_Total_Produit_SH6")</f>
        <v xml:space="preserve">   ZZ_Total_Produit_SH6</v>
      </c>
      <c r="B10925" t="str">
        <f>T("   ZZ_Total_Produit_SH6")</f>
        <v xml:space="preserve">   ZZ_Total_Produit_SH6</v>
      </c>
      <c r="C10925">
        <v>575418450</v>
      </c>
      <c r="D10925">
        <v>1771233</v>
      </c>
    </row>
    <row r="10926" spans="1:4" x14ac:dyDescent="0.25">
      <c r="A10926" t="str">
        <f>T("   271019")</f>
        <v xml:space="preserve">   271019</v>
      </c>
      <c r="B10926" t="str">
        <f>T("   Huiles moyennes et préparations, de pétrole ou de minéraux bitumineux, n.d.a.")</f>
        <v xml:space="preserve">   Huiles moyennes et préparations, de pétrole ou de minéraux bitumineux, n.d.a.</v>
      </c>
      <c r="C10926">
        <v>264419221</v>
      </c>
      <c r="D10926">
        <v>1000000</v>
      </c>
    </row>
    <row r="10927" spans="1:4" x14ac:dyDescent="0.25">
      <c r="A10927" t="str">
        <f>T("   271113")</f>
        <v xml:space="preserve">   271113</v>
      </c>
      <c r="B10927" t="str">
        <f>T("   Butanes, liquéfiés (à l'excl. des butanes d'une pureté &gt;= 95% en n-butane ou en isobutane)")</f>
        <v xml:space="preserve">   Butanes, liquéfiés (à l'excl. des butanes d'une pureté &gt;= 95% en n-butane ou en isobutane)</v>
      </c>
      <c r="C10927">
        <v>310999229</v>
      </c>
      <c r="D10927">
        <v>771233</v>
      </c>
    </row>
    <row r="10928" spans="1:4" x14ac:dyDescent="0.25">
      <c r="A10928" t="str">
        <f>T("TV")</f>
        <v>TV</v>
      </c>
      <c r="B10928" t="str">
        <f>T("Tuvalu")</f>
        <v>Tuvalu</v>
      </c>
    </row>
    <row r="10929" spans="1:4" x14ac:dyDescent="0.25">
      <c r="A10929" t="str">
        <f>T("   ZZ_Total_Produit_SH6")</f>
        <v xml:space="preserve">   ZZ_Total_Produit_SH6</v>
      </c>
      <c r="B10929" t="str">
        <f>T("   ZZ_Total_Produit_SH6")</f>
        <v xml:space="preserve">   ZZ_Total_Produit_SH6</v>
      </c>
      <c r="C10929">
        <v>196788</v>
      </c>
      <c r="D10929">
        <v>25</v>
      </c>
    </row>
    <row r="10930" spans="1:4" x14ac:dyDescent="0.25">
      <c r="A10930" t="str">
        <f>T("   846310")</f>
        <v xml:space="preserve">   846310</v>
      </c>
      <c r="B10930" t="str">
        <f>T("   Bancs à étirer les barres, tubes, profilés, fils ou simil. en métal")</f>
        <v xml:space="preserve">   Bancs à étirer les barres, tubes, profilés, fils ou simil. en métal</v>
      </c>
      <c r="C10930">
        <v>196788</v>
      </c>
      <c r="D10930">
        <v>25</v>
      </c>
    </row>
    <row r="10931" spans="1:4" x14ac:dyDescent="0.25">
      <c r="A10931" t="str">
        <f>T("TW")</f>
        <v>TW</v>
      </c>
      <c r="B10931" t="str">
        <f>T("Taïwan, Province de Chine")</f>
        <v>Taïwan, Province de Chine</v>
      </c>
    </row>
    <row r="10932" spans="1:4" x14ac:dyDescent="0.25">
      <c r="A10932" t="str">
        <f>T("   ZZ_Total_Produit_SH6")</f>
        <v xml:space="preserve">   ZZ_Total_Produit_SH6</v>
      </c>
      <c r="B10932" t="str">
        <f>T("   ZZ_Total_Produit_SH6")</f>
        <v xml:space="preserve">   ZZ_Total_Produit_SH6</v>
      </c>
      <c r="C10932">
        <v>232635744</v>
      </c>
      <c r="D10932">
        <v>238541</v>
      </c>
    </row>
    <row r="10933" spans="1:4" x14ac:dyDescent="0.25">
      <c r="A10933" t="str">
        <f>T("   200919")</f>
        <v xml:space="preserve">   200919</v>
      </c>
      <c r="B10933" t="str">
        <f>T("   JUS D'ORANGE, NON-FERMENTÉS, SANS ADDITION D'ALCOOL, AVEC OU SANS ADDITION DE SUCRE OU D'AUTRES ÉDULCORANTS (À L'EXCL. DES JUS CONGELÉS ET DES JUS D'UNE VALEUR BRIX &lt;= 20 À 20°C)")</f>
        <v xml:space="preserve">   JUS D'ORANGE, NON-FERMENTÉS, SANS ADDITION D'ALCOOL, AVEC OU SANS ADDITION DE SUCRE OU D'AUTRES ÉDULCORANTS (À L'EXCL. DES JUS CONGELÉS ET DES JUS D'UNE VALEUR BRIX &lt;= 20 À 20°C)</v>
      </c>
      <c r="C10933">
        <v>1229850</v>
      </c>
      <c r="D10933">
        <v>3497</v>
      </c>
    </row>
    <row r="10934" spans="1:4" x14ac:dyDescent="0.25">
      <c r="A10934" t="str">
        <f>T("   200949")</f>
        <v xml:space="preserve">   200949</v>
      </c>
      <c r="B10934" t="str">
        <f>T("   JUS D'ANANAS, NON-FERMENTÉS, SANS ADDITION D'ALCOOL, AVEC OU SANS ADDITION DE SUCRE OU D'AUTRES ÉDULCORANTS, D'UNE VALEUR BRIX &gt; 20 À 20°C")</f>
        <v xml:space="preserve">   JUS D'ANANAS, NON-FERMENTÉS, SANS ADDITION D'ALCOOL, AVEC OU SANS ADDITION DE SUCRE OU D'AUTRES ÉDULCORANTS, D'UNE VALEUR BRIX &gt; 20 À 20°C</v>
      </c>
      <c r="C10934">
        <v>2079478</v>
      </c>
      <c r="D10934">
        <v>5914</v>
      </c>
    </row>
    <row r="10935" spans="1:4" x14ac:dyDescent="0.25">
      <c r="A10935" t="str">
        <f>T("   200980")</f>
        <v xml:space="preserve">   200980</v>
      </c>
      <c r="B10935"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10935">
        <v>1721412</v>
      </c>
      <c r="D10935">
        <v>4895</v>
      </c>
    </row>
    <row r="10936" spans="1:4" x14ac:dyDescent="0.25">
      <c r="A10936" t="str">
        <f>T("   200990")</f>
        <v xml:space="preserve">   200990</v>
      </c>
      <c r="B10936"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10936">
        <v>6922313</v>
      </c>
      <c r="D10936">
        <v>23115</v>
      </c>
    </row>
    <row r="10937" spans="1:4" x14ac:dyDescent="0.25">
      <c r="A10937" t="str">
        <f>T("   300610")</f>
        <v xml:space="preserve">   300610</v>
      </c>
      <c r="B10937" t="s">
        <v>82</v>
      </c>
      <c r="C10937">
        <v>18533687</v>
      </c>
      <c r="D10937">
        <v>408</v>
      </c>
    </row>
    <row r="10938" spans="1:4" x14ac:dyDescent="0.25">
      <c r="A10938" t="str">
        <f>T("   551321")</f>
        <v xml:space="preserve">   551321</v>
      </c>
      <c r="B10938" t="str">
        <f>T("   Tissus, teints, de fibres discontinues de polyester, contenant en prédominance, mais &lt; 85% en poids de ces fibres, mélangés principalement ou uniquement avec du coton, à armure toile, d'un poids &lt;= 170 g/m²")</f>
        <v xml:space="preserve">   Tissus, teints, de fibres discontinues de polyester, contenant en prédominance, mais &lt; 85% en poids de ces fibres, mélangés principalement ou uniquement avec du coton, à armure toile, d'un poids &lt;= 170 g/m²</v>
      </c>
      <c r="C10938">
        <v>104339207</v>
      </c>
      <c r="D10938">
        <v>128775</v>
      </c>
    </row>
    <row r="10939" spans="1:4" x14ac:dyDescent="0.25">
      <c r="A10939" t="str">
        <f>T("   551421")</f>
        <v xml:space="preserve">   551421</v>
      </c>
      <c r="B10939" t="str">
        <f>T("   Tissus, teints, de fibres discontinues de polyester, contenant en prédominance, mais &lt; 85% en poids de ces fibres, mélangés principalement ou uniquement avec du coton, à armure toile, d'un poids &gt; 170 g/m²")</f>
        <v xml:space="preserve">   Tissus, teints, de fibres discontinues de polyester, contenant en prédominance, mais &lt; 85% en poids de ces fibres, mélangés principalement ou uniquement avec du coton, à armure toile, d'un poids &gt; 170 g/m²</v>
      </c>
      <c r="C10939">
        <v>12026786</v>
      </c>
      <c r="D10939">
        <v>16688</v>
      </c>
    </row>
    <row r="10940" spans="1:4" x14ac:dyDescent="0.25">
      <c r="A10940" t="str">
        <f>T("   551519")</f>
        <v xml:space="preserve">   551519</v>
      </c>
      <c r="B10940" t="s">
        <v>239</v>
      </c>
      <c r="C10940">
        <v>12029217</v>
      </c>
      <c r="D10940">
        <v>16470</v>
      </c>
    </row>
    <row r="10941" spans="1:4" x14ac:dyDescent="0.25">
      <c r="A10941" t="str">
        <f>T("   630900")</f>
        <v xml:space="preserve">   630900</v>
      </c>
      <c r="B10941" t="s">
        <v>278</v>
      </c>
      <c r="C10941">
        <v>10000200</v>
      </c>
      <c r="D10941">
        <v>20000</v>
      </c>
    </row>
    <row r="10942" spans="1:4" x14ac:dyDescent="0.25">
      <c r="A10942" t="str">
        <f>T("   820590")</f>
        <v xml:space="preserve">   820590</v>
      </c>
      <c r="B10942" t="str">
        <f>T("   Assortiments d'outils d'au moins deux des sous-positions du n° 8205")</f>
        <v xml:space="preserve">   Assortiments d'outils d'au moins deux des sous-positions du n° 8205</v>
      </c>
      <c r="C10942">
        <v>1523139</v>
      </c>
      <c r="D10942">
        <v>85</v>
      </c>
    </row>
    <row r="10943" spans="1:4" x14ac:dyDescent="0.25">
      <c r="A10943" t="str">
        <f>T("   851290")</f>
        <v xml:space="preserve">   851290</v>
      </c>
      <c r="B10943" t="str">
        <f>T("   PARTIES DES APPAREILS ÉLECTRIQUES D'ÉCLAIRAGE, DE SIGNALISATION, ESSUIE-GLACES, DÉGIVREURS ET DISPOSITIFS ANTIBUÉE, DES TYPES UTILISÉS POUR CYCLES ET POUR AUTOMOBILES, N.D.A.")</f>
        <v xml:space="preserve">   PARTIES DES APPAREILS ÉLECTRIQUES D'ÉCLAIRAGE, DE SIGNALISATION, ESSUIE-GLACES, DÉGIVREURS ET DISPOSITIFS ANTIBUÉE, DES TYPES UTILISÉS POUR CYCLES ET POUR AUTOMOBILES, N.D.A.</v>
      </c>
      <c r="C10943">
        <v>1636520</v>
      </c>
      <c r="D10943">
        <v>1478</v>
      </c>
    </row>
    <row r="10944" spans="1:4" x14ac:dyDescent="0.25">
      <c r="A10944" t="str">
        <f>T("   870810")</f>
        <v xml:space="preserve">   870810</v>
      </c>
      <c r="B10944" t="str">
        <f>T("   PARE-CHOCS ET LEURS PARTIES DE TRACTEURS, VÉHICULES POUR LE TRANSPORT DE &gt;= 10 PERSONNES, CHAUFFEUR INCLUS, VOITURES DE TOURISME, VÉHICULES POUR LE TRANSPORT DE MARCHANDISES ET VÉHICULES À USAGES SPÉCIAUX DU N° 8701 À 8705, N.D.A")</f>
        <v xml:space="preserve">   PARE-CHOCS ET LEURS PARTIES DE TRACTEURS, VÉHICULES POUR LE TRANSPORT DE &gt;= 10 PERSONNES, CHAUFFEUR INCLUS, VOITURES DE TOURISME, VÉHICULES POUR LE TRANSPORT DE MARCHANDISES ET VÉHICULES À USAGES SPÉCIAUX DU N° 8701 À 8705, N.D.A</v>
      </c>
      <c r="C10944">
        <v>9835011</v>
      </c>
      <c r="D10944">
        <v>1478</v>
      </c>
    </row>
    <row r="10945" spans="1:4" x14ac:dyDescent="0.25">
      <c r="A10945" t="str">
        <f>T("   870829")</f>
        <v xml:space="preserve">   870829</v>
      </c>
      <c r="B10945" t="s">
        <v>493</v>
      </c>
      <c r="C10945">
        <v>4993643</v>
      </c>
      <c r="D10945">
        <v>1480</v>
      </c>
    </row>
    <row r="10946" spans="1:4" x14ac:dyDescent="0.25">
      <c r="A10946" t="str">
        <f>T("   870899")</f>
        <v xml:space="preserve">   870899</v>
      </c>
      <c r="B10946"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10946">
        <v>3278754</v>
      </c>
      <c r="D10946">
        <v>2423</v>
      </c>
    </row>
    <row r="10947" spans="1:4" x14ac:dyDescent="0.25">
      <c r="A10947" t="str">
        <f>T("   871120")</f>
        <v xml:space="preserve">   871120</v>
      </c>
      <c r="B10947" t="str">
        <f>T("   Motocycles à moteur à piston alternatif, cylindrée &gt; 50 cm³ mais &lt;= 250 cm³")</f>
        <v xml:space="preserve">   Motocycles à moteur à piston alternatif, cylindrée &gt; 50 cm³ mais &lt;= 250 cm³</v>
      </c>
      <c r="C10947">
        <v>18200441</v>
      </c>
      <c r="D10947">
        <v>9985</v>
      </c>
    </row>
    <row r="10948" spans="1:4" x14ac:dyDescent="0.25">
      <c r="A10948" t="str">
        <f>T("   901890")</f>
        <v xml:space="preserve">   901890</v>
      </c>
      <c r="B10948" t="str">
        <f>T("   Instruments et appareils pour la médecine, la chirurgie ou l'art vétérinaire, n.d.a.")</f>
        <v xml:space="preserve">   Instruments et appareils pour la médecine, la chirurgie ou l'art vétérinaire, n.d.a.</v>
      </c>
      <c r="C10948">
        <v>24133903</v>
      </c>
      <c r="D10948">
        <v>1842</v>
      </c>
    </row>
    <row r="10949" spans="1:4" x14ac:dyDescent="0.25">
      <c r="A10949" t="str">
        <f>T("   903031")</f>
        <v xml:space="preserve">   903031</v>
      </c>
      <c r="B10949" t="str">
        <f>T("   Multimètres pour la mesure de la tension, de l'intensité, de la résistance ou de la puissance, sans dispositif enregistreur")</f>
        <v xml:space="preserve">   Multimètres pour la mesure de la tension, de l'intensité, de la résistance ou de la puissance, sans dispositif enregistreur</v>
      </c>
      <c r="C10949">
        <v>152183</v>
      </c>
      <c r="D10949">
        <v>8</v>
      </c>
    </row>
    <row r="10950" spans="1:4" x14ac:dyDescent="0.25">
      <c r="A10950" t="str">
        <f>T("TZ")</f>
        <v>TZ</v>
      </c>
      <c r="B10950" t="str">
        <f>T("Tanzanie")</f>
        <v>Tanzanie</v>
      </c>
    </row>
    <row r="10951" spans="1:4" x14ac:dyDescent="0.25">
      <c r="A10951" t="str">
        <f>T("   ZZ_Total_Produit_SH6")</f>
        <v xml:space="preserve">   ZZ_Total_Produit_SH6</v>
      </c>
      <c r="B10951" t="str">
        <f>T("   ZZ_Total_Produit_SH6")</f>
        <v xml:space="preserve">   ZZ_Total_Produit_SH6</v>
      </c>
      <c r="C10951">
        <v>29330826</v>
      </c>
      <c r="D10951">
        <v>25378</v>
      </c>
    </row>
    <row r="10952" spans="1:4" x14ac:dyDescent="0.25">
      <c r="A10952" t="str">
        <f>T("   731700")</f>
        <v xml:space="preserve">   731700</v>
      </c>
      <c r="B10952" t="str">
        <f>T("   Pointes, clous, punaises, crampons appointés, agrafes ondulées ou biseautées et articles simil., en fonte, fer ou acier, même avec tête en autre matière (à l'excl. de ceux avec tête en cuivre et à l'excl. des agrafes en barrettes)")</f>
        <v xml:space="preserve">   Pointes, clous, punaises, crampons appointés, agrafes ondulées ou biseautées et articles simil., en fonte, fer ou acier, même avec tête en autre matière (à l'excl. de ceux avec tête en cuivre et à l'excl. des agrafes en barrettes)</v>
      </c>
      <c r="C10952">
        <v>188385</v>
      </c>
      <c r="D10952">
        <v>1950</v>
      </c>
    </row>
    <row r="10953" spans="1:4" x14ac:dyDescent="0.25">
      <c r="A10953" t="str">
        <f>T("   820190")</f>
        <v xml:space="preserve">   820190</v>
      </c>
      <c r="B10953" t="s">
        <v>375</v>
      </c>
      <c r="C10953">
        <v>1680000</v>
      </c>
      <c r="D10953">
        <v>12125</v>
      </c>
    </row>
    <row r="10954" spans="1:4" x14ac:dyDescent="0.25">
      <c r="A10954" t="str">
        <f>T("   820551")</f>
        <v xml:space="preserve">   820551</v>
      </c>
      <c r="B10954" t="str">
        <f>T("   Outils à main d'économie domestique, non mécaniques, avec partie travaillante en métaux communs, n.d.a.")</f>
        <v xml:space="preserve">   Outils à main d'économie domestique, non mécaniques, avec partie travaillante en métaux communs, n.d.a.</v>
      </c>
      <c r="C10954">
        <v>651916</v>
      </c>
      <c r="D10954">
        <v>3540</v>
      </c>
    </row>
    <row r="10955" spans="1:4" x14ac:dyDescent="0.25">
      <c r="A10955" t="str">
        <f>T("   843390")</f>
        <v xml:space="preserve">   843390</v>
      </c>
      <c r="B10955" t="str">
        <f>T("   Parties des machines, appareils et engins pour la récolte, le battage et le fauchage, et des machines pour le nettoyage ou le triage des produits agricoles, n.d.a.")</f>
        <v xml:space="preserve">   Parties des machines, appareils et engins pour la récolte, le battage et le fauchage, et des machines pour le nettoyage ou le triage des produits agricoles, n.d.a.</v>
      </c>
      <c r="C10955">
        <v>26057466</v>
      </c>
      <c r="D10955">
        <v>6908</v>
      </c>
    </row>
    <row r="10956" spans="1:4" x14ac:dyDescent="0.25">
      <c r="A10956" t="str">
        <f>T("   960340")</f>
        <v xml:space="preserve">   960340</v>
      </c>
      <c r="B10956" t="str">
        <f>T("   Brosses et pinceaux à peindre, à badigeonner, à vernir ou simil., sauf pinceaux pour artistes et pinceaux simil. du n° 9603.30; tampons et rouleaux à peindre")</f>
        <v xml:space="preserve">   Brosses et pinceaux à peindre, à badigeonner, à vernir ou simil., sauf pinceaux pour artistes et pinceaux simil. du n° 9603.30; tampons et rouleaux à peindre</v>
      </c>
      <c r="C10956">
        <v>753059</v>
      </c>
      <c r="D10956">
        <v>855</v>
      </c>
    </row>
    <row r="10957" spans="1:4" x14ac:dyDescent="0.25">
      <c r="A10957" t="str">
        <f>T("UA")</f>
        <v>UA</v>
      </c>
      <c r="B10957" t="str">
        <f>T("Ukraine")</f>
        <v>Ukraine</v>
      </c>
    </row>
    <row r="10958" spans="1:4" x14ac:dyDescent="0.25">
      <c r="A10958" t="str">
        <f>T("   ZZ_Total_Produit_SH6")</f>
        <v xml:space="preserve">   ZZ_Total_Produit_SH6</v>
      </c>
      <c r="B10958" t="str">
        <f>T("   ZZ_Total_Produit_SH6")</f>
        <v xml:space="preserve">   ZZ_Total_Produit_SH6</v>
      </c>
      <c r="C10958">
        <v>2719896387</v>
      </c>
      <c r="D10958">
        <v>11499843</v>
      </c>
    </row>
    <row r="10959" spans="1:4" x14ac:dyDescent="0.25">
      <c r="A10959" t="str">
        <f>T("   271019")</f>
        <v xml:space="preserve">   271019</v>
      </c>
      <c r="B10959" t="str">
        <f>T("   Huiles moyennes et préparations, de pétrole ou de minéraux bitumineux, n.d.a.")</f>
        <v xml:space="preserve">   Huiles moyennes et préparations, de pétrole ou de minéraux bitumineux, n.d.a.</v>
      </c>
      <c r="C10959">
        <v>192421400</v>
      </c>
      <c r="D10959">
        <v>502243</v>
      </c>
    </row>
    <row r="10960" spans="1:4" x14ac:dyDescent="0.25">
      <c r="A10960" t="str">
        <f>T("   310210")</f>
        <v xml:space="preserve">   310210</v>
      </c>
      <c r="B10960" t="str">
        <f>T("   Urée, même en solution aqueuse (à l'excl. des produits présentés soit en tablettes ou formes simil., soit en emballages d'un poids brut &lt;= 10 kg)")</f>
        <v xml:space="preserve">   Urée, même en solution aqueuse (à l'excl. des produits présentés soit en tablettes ou formes simil., soit en emballages d'un poids brut &lt;= 10 kg)</v>
      </c>
      <c r="C10960">
        <v>989052000</v>
      </c>
      <c r="D10960">
        <v>6000000</v>
      </c>
    </row>
    <row r="10961" spans="1:4" x14ac:dyDescent="0.25">
      <c r="A10961" t="str">
        <f>T("   721391")</f>
        <v xml:space="preserve">   721391</v>
      </c>
      <c r="B10961"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10961">
        <v>1538422987</v>
      </c>
      <c r="D10961">
        <v>4997600</v>
      </c>
    </row>
    <row r="10962" spans="1:4" x14ac:dyDescent="0.25">
      <c r="A10962" t="str">
        <f>T("UG")</f>
        <v>UG</v>
      </c>
      <c r="B10962" t="str">
        <f>T("Ouganda")</f>
        <v>Ouganda</v>
      </c>
    </row>
    <row r="10963" spans="1:4" x14ac:dyDescent="0.25">
      <c r="A10963" t="str">
        <f>T("   ZZ_Total_Produit_SH6")</f>
        <v xml:space="preserve">   ZZ_Total_Produit_SH6</v>
      </c>
      <c r="B10963" t="str">
        <f>T("   ZZ_Total_Produit_SH6")</f>
        <v xml:space="preserve">   ZZ_Total_Produit_SH6</v>
      </c>
      <c r="C10963">
        <v>4620935</v>
      </c>
      <c r="D10963">
        <v>8000</v>
      </c>
    </row>
    <row r="10964" spans="1:4" x14ac:dyDescent="0.25">
      <c r="A10964" t="str">
        <f>T("   850164")</f>
        <v xml:space="preserve">   850164</v>
      </c>
      <c r="B10964" t="str">
        <f>T("   Alternateurs, puissance &gt; 750 kVA")</f>
        <v xml:space="preserve">   Alternateurs, puissance &gt; 750 kVA</v>
      </c>
      <c r="C10964">
        <v>4620935</v>
      </c>
      <c r="D10964">
        <v>8000</v>
      </c>
    </row>
    <row r="10965" spans="1:4" x14ac:dyDescent="0.25">
      <c r="A10965" t="str">
        <f>T("UM")</f>
        <v>UM</v>
      </c>
      <c r="B10965" t="str">
        <f>T("îles mineures éloignées(Etats-Unis)")</f>
        <v>îles mineures éloignées(Etats-Unis)</v>
      </c>
    </row>
    <row r="10966" spans="1:4" x14ac:dyDescent="0.25">
      <c r="A10966" t="str">
        <f>T("   ZZ_Total_Produit_SH6")</f>
        <v xml:space="preserve">   ZZ_Total_Produit_SH6</v>
      </c>
      <c r="B10966" t="str">
        <f>T("   ZZ_Total_Produit_SH6")</f>
        <v xml:space="preserve">   ZZ_Total_Produit_SH6</v>
      </c>
      <c r="C10966">
        <v>79666027</v>
      </c>
      <c r="D10966">
        <v>4946</v>
      </c>
    </row>
    <row r="10967" spans="1:4" x14ac:dyDescent="0.25">
      <c r="A10967" t="str">
        <f>T("   491199")</f>
        <v xml:space="preserve">   491199</v>
      </c>
      <c r="B10967" t="str">
        <f>T("   Imprimés, n.d.a.")</f>
        <v xml:space="preserve">   Imprimés, n.d.a.</v>
      </c>
      <c r="C10967">
        <v>34177166</v>
      </c>
      <c r="D10967">
        <v>4212</v>
      </c>
    </row>
    <row r="10968" spans="1:4" x14ac:dyDescent="0.25">
      <c r="A10968" t="str">
        <f>T("   851780")</f>
        <v xml:space="preserve">   851780</v>
      </c>
      <c r="B10968" t="s">
        <v>458</v>
      </c>
      <c r="C10968">
        <v>33212640</v>
      </c>
      <c r="D10968">
        <v>631</v>
      </c>
    </row>
    <row r="10969" spans="1:4" x14ac:dyDescent="0.25">
      <c r="A10969" t="str">
        <f>T("   852830")</f>
        <v xml:space="preserve">   852830</v>
      </c>
      <c r="B10969" t="str">
        <f>T("   Projecteurs vidéo")</f>
        <v xml:space="preserve">   Projecteurs vidéo</v>
      </c>
      <c r="C10969">
        <v>11632724</v>
      </c>
      <c r="D10969">
        <v>98</v>
      </c>
    </row>
    <row r="10970" spans="1:4" x14ac:dyDescent="0.25">
      <c r="A10970" t="str">
        <f>T("   902480")</f>
        <v xml:space="preserve">   902480</v>
      </c>
      <c r="B10970" t="str">
        <f>T("   Machines et appareils d'essais des propriétés mécaniques des matériaux (autres que les métaux)")</f>
        <v xml:space="preserve">   Machines et appareils d'essais des propriétés mécaniques des matériaux (autres que les métaux)</v>
      </c>
      <c r="C10970">
        <v>643497</v>
      </c>
      <c r="D10970">
        <v>5</v>
      </c>
    </row>
    <row r="10971" spans="1:4" x14ac:dyDescent="0.25">
      <c r="A10971" t="str">
        <f>T("US")</f>
        <v>US</v>
      </c>
      <c r="B10971" t="str">
        <f>T("Etats-Unis")</f>
        <v>Etats-Unis</v>
      </c>
    </row>
    <row r="10972" spans="1:4" x14ac:dyDescent="0.25">
      <c r="A10972" t="str">
        <f>T("   ZZ_Total_Produit_SH6")</f>
        <v xml:space="preserve">   ZZ_Total_Produit_SH6</v>
      </c>
      <c r="B10972" t="str">
        <f>T("   ZZ_Total_Produit_SH6")</f>
        <v xml:space="preserve">   ZZ_Total_Produit_SH6</v>
      </c>
      <c r="C10972">
        <v>22769960912.138</v>
      </c>
      <c r="D10972">
        <v>28766533.469999999</v>
      </c>
    </row>
    <row r="10973" spans="1:4" x14ac:dyDescent="0.25">
      <c r="A10973" t="str">
        <f>T("   020714")</f>
        <v xml:space="preserve">   020714</v>
      </c>
      <c r="B10973" t="str">
        <f>T("   Morceaux et abats comestibles de coqs et de poules [des espèces domestiques], congelés")</f>
        <v xml:space="preserve">   Morceaux et abats comestibles de coqs et de poules [des espèces domestiques], congelés</v>
      </c>
      <c r="C10973">
        <v>165013952</v>
      </c>
      <c r="D10973">
        <v>271900</v>
      </c>
    </row>
    <row r="10974" spans="1:4" x14ac:dyDescent="0.25">
      <c r="A10974" t="str">
        <f>T("   020727")</f>
        <v xml:space="preserve">   020727</v>
      </c>
      <c r="B10974" t="str">
        <f>T("   Morceaux et abats comestibles de dindes et dindons [des espèces domestiques], congelés")</f>
        <v xml:space="preserve">   Morceaux et abats comestibles de dindes et dindons [des espèces domestiques], congelés</v>
      </c>
      <c r="C10974">
        <v>30000462</v>
      </c>
      <c r="D10974">
        <v>48988</v>
      </c>
    </row>
    <row r="10975" spans="1:4" x14ac:dyDescent="0.25">
      <c r="A10975" t="str">
        <f>T("   030379")</f>
        <v xml:space="preserve">   030379</v>
      </c>
      <c r="B10975" t="s">
        <v>17</v>
      </c>
      <c r="C10975">
        <v>8855460</v>
      </c>
      <c r="D10975">
        <v>50000</v>
      </c>
    </row>
    <row r="10976" spans="1:4" x14ac:dyDescent="0.25">
      <c r="A10976" t="str">
        <f>T("   080610")</f>
        <v xml:space="preserve">   080610</v>
      </c>
      <c r="B10976" t="str">
        <f>T("   Raisins, frais")</f>
        <v xml:space="preserve">   Raisins, frais</v>
      </c>
      <c r="C10976">
        <v>14000810</v>
      </c>
      <c r="D10976">
        <v>36174</v>
      </c>
    </row>
    <row r="10977" spans="1:4" x14ac:dyDescent="0.25">
      <c r="A10977" t="str">
        <f>T("   100590")</f>
        <v xml:space="preserve">   100590</v>
      </c>
      <c r="B10977" t="str">
        <f>T("   Maïs (autre que de semence)")</f>
        <v xml:space="preserve">   Maïs (autre que de semence)</v>
      </c>
      <c r="C10977">
        <v>26390014</v>
      </c>
      <c r="D10977">
        <v>121057</v>
      </c>
    </row>
    <row r="10978" spans="1:4" x14ac:dyDescent="0.25">
      <c r="A10978" t="str">
        <f>T("   100630")</f>
        <v xml:space="preserve">   100630</v>
      </c>
      <c r="B10978" t="str">
        <f>T("   Riz semi-blanchi ou blanchi, même poli ou glacé")</f>
        <v xml:space="preserve">   Riz semi-blanchi ou blanchi, même poli ou glacé</v>
      </c>
      <c r="C10978">
        <v>569766694.13800001</v>
      </c>
      <c r="D10978">
        <v>2500000</v>
      </c>
    </row>
    <row r="10979" spans="1:4" x14ac:dyDescent="0.25">
      <c r="A10979" t="str">
        <f>T("   170410")</f>
        <v xml:space="preserve">   170410</v>
      </c>
      <c r="B10979" t="str">
        <f>T("   Gommes à mâcher [chewing-gum], même enrobées de sucre")</f>
        <v xml:space="preserve">   Gommes à mâcher [chewing-gum], même enrobées de sucre</v>
      </c>
      <c r="C10979">
        <v>8182505</v>
      </c>
      <c r="D10979">
        <v>45308</v>
      </c>
    </row>
    <row r="10980" spans="1:4" x14ac:dyDescent="0.25">
      <c r="A10980" t="str">
        <f>T("   170490")</f>
        <v xml:space="preserve">   170490</v>
      </c>
      <c r="B10980" t="str">
        <f>T("   Sucreries sans cacao, y.c. le chocolat blanc (à l'excl. des gommes à mâcher)")</f>
        <v xml:space="preserve">   Sucreries sans cacao, y.c. le chocolat blanc (à l'excl. des gommes à mâcher)</v>
      </c>
      <c r="C10980">
        <v>55059469</v>
      </c>
      <c r="D10980">
        <v>258787</v>
      </c>
    </row>
    <row r="10981" spans="1:4" x14ac:dyDescent="0.25">
      <c r="A10981" t="str">
        <f>T("   180620")</f>
        <v xml:space="preserve">   180620</v>
      </c>
      <c r="B10981" t="s">
        <v>46</v>
      </c>
      <c r="C10981">
        <v>11029844</v>
      </c>
      <c r="D10981">
        <v>45244</v>
      </c>
    </row>
    <row r="10982" spans="1:4" x14ac:dyDescent="0.25">
      <c r="A10982" t="str">
        <f>T("   180631")</f>
        <v xml:space="preserve">   180631</v>
      </c>
      <c r="B10982" t="str">
        <f>T("   Chocolat et autres préparations alimentaires contenant du cacao, présentés en tablettes, barres ou bâtons, d'un poids &lt;= 2 kg, fourrés")</f>
        <v xml:space="preserve">   Chocolat et autres préparations alimentaires contenant du cacao, présentés en tablettes, barres ou bâtons, d'un poids &lt;= 2 kg, fourrés</v>
      </c>
      <c r="C10982">
        <v>34656223</v>
      </c>
      <c r="D10982">
        <v>119409</v>
      </c>
    </row>
    <row r="10983" spans="1:4" x14ac:dyDescent="0.25">
      <c r="A10983" t="str">
        <f>T("   180690")</f>
        <v xml:space="preserve">   180690</v>
      </c>
      <c r="B10983" t="str">
        <f>T("   Chocolat et autres préparations alimentaires contenant du cacao, en récipients ou en emballages immédiats d'un contenu &lt;= 2 kg (à l'excl. de la poudre de cacao et des produits présentés en tablettes, barres ou bâtons)")</f>
        <v xml:space="preserve">   Chocolat et autres préparations alimentaires contenant du cacao, en récipients ou en emballages immédiats d'un contenu &lt;= 2 kg (à l'excl. de la poudre de cacao et des produits présentés en tablettes, barres ou bâtons)</v>
      </c>
      <c r="C10983">
        <v>26642376</v>
      </c>
      <c r="D10983">
        <v>122298</v>
      </c>
    </row>
    <row r="10984" spans="1:4" x14ac:dyDescent="0.25">
      <c r="A10984" t="str">
        <f>T("   190531")</f>
        <v xml:space="preserve">   190531</v>
      </c>
      <c r="B10984" t="str">
        <f>T("   Biscuits additionnés d'édulcorants")</f>
        <v xml:space="preserve">   Biscuits additionnés d'édulcorants</v>
      </c>
      <c r="C10984">
        <v>56527730</v>
      </c>
      <c r="D10984">
        <v>239732</v>
      </c>
    </row>
    <row r="10985" spans="1:4" x14ac:dyDescent="0.25">
      <c r="A10985" t="str">
        <f>T("   190532")</f>
        <v xml:space="preserve">   190532</v>
      </c>
      <c r="B10985" t="str">
        <f>T("   GAUFRES ET GAUFRETTES")</f>
        <v xml:space="preserve">   GAUFRES ET GAUFRETTES</v>
      </c>
      <c r="C10985">
        <v>31483575</v>
      </c>
      <c r="D10985">
        <v>110599</v>
      </c>
    </row>
    <row r="10986" spans="1:4" x14ac:dyDescent="0.25">
      <c r="A10986" t="str">
        <f>T("   190540")</f>
        <v xml:space="preserve">   190540</v>
      </c>
      <c r="B10986" t="str">
        <f>T("   Biscottes, pain grillé et produits simil. grillés")</f>
        <v xml:space="preserve">   Biscottes, pain grillé et produits simil. grillés</v>
      </c>
      <c r="C10986">
        <v>4301687</v>
      </c>
      <c r="D10986">
        <v>19316</v>
      </c>
    </row>
    <row r="10987" spans="1:4" x14ac:dyDescent="0.25">
      <c r="A10987" t="str">
        <f>T("   190590")</f>
        <v xml:space="preserve">   190590</v>
      </c>
      <c r="B10987" t="s">
        <v>51</v>
      </c>
      <c r="C10987">
        <v>10739560</v>
      </c>
      <c r="D10987">
        <v>36312</v>
      </c>
    </row>
    <row r="10988" spans="1:4" x14ac:dyDescent="0.25">
      <c r="A10988" t="str">
        <f>T("   200520")</f>
        <v xml:space="preserve">   200520</v>
      </c>
      <c r="B10988" t="str">
        <f>T("   POMMES DE TERRE, PRÉPARÉES OU CONSERVÉES AUTREMENT QU'AU VINAIGRE OU À L'ACIDE ACÉTIQUE, NON-CONGELÉES")</f>
        <v xml:space="preserve">   POMMES DE TERRE, PRÉPARÉES OU CONSERVÉES AUTREMENT QU'AU VINAIGRE OU À L'ACIDE ACÉTIQUE, NON-CONGELÉES</v>
      </c>
      <c r="C10988">
        <v>3299366</v>
      </c>
      <c r="D10988">
        <v>3843</v>
      </c>
    </row>
    <row r="10989" spans="1:4" x14ac:dyDescent="0.25">
      <c r="A10989" t="str">
        <f>T("   200580")</f>
        <v xml:space="preserve">   200580</v>
      </c>
      <c r="B10989" t="str">
        <f>T("   Maïs doux [Zea mays var. saccharata], préparé ou conservé autrement qu'au vinaigre ou à l'acide acétique, non congelé")</f>
        <v xml:space="preserve">   Maïs doux [Zea mays var. saccharata], préparé ou conservé autrement qu'au vinaigre ou à l'acide acétique, non congelé</v>
      </c>
      <c r="C10989">
        <v>2296000</v>
      </c>
      <c r="D10989">
        <v>22960</v>
      </c>
    </row>
    <row r="10990" spans="1:4" x14ac:dyDescent="0.25">
      <c r="A10990" t="str">
        <f>T("   210390")</f>
        <v xml:space="preserve">   210390</v>
      </c>
      <c r="B10990"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10990">
        <v>9340000</v>
      </c>
      <c r="D10990">
        <v>52408</v>
      </c>
    </row>
    <row r="10991" spans="1:4" x14ac:dyDescent="0.25">
      <c r="A10991" t="str">
        <f>T("   210690")</f>
        <v xml:space="preserve">   210690</v>
      </c>
      <c r="B10991" t="str">
        <f>T("   Préparations alimentaires, n.d.a.")</f>
        <v xml:space="preserve">   Préparations alimentaires, n.d.a.</v>
      </c>
      <c r="C10991">
        <v>5484239</v>
      </c>
      <c r="D10991">
        <v>950</v>
      </c>
    </row>
    <row r="10992" spans="1:4" x14ac:dyDescent="0.25">
      <c r="A10992" t="str">
        <f>T("   220290")</f>
        <v xml:space="preserve">   220290</v>
      </c>
      <c r="B10992" t="str">
        <f>T("   BOISSONS NON-ALCOOLIQUES (À L'EXCL. DES EAUX, DES JUS DE FRUITS OU DE LÉGUMES AINSI QUE DU LAIT)")</f>
        <v xml:space="preserve">   BOISSONS NON-ALCOOLIQUES (À L'EXCL. DES EAUX, DES JUS DE FRUITS OU DE LÉGUMES AINSI QUE DU LAIT)</v>
      </c>
      <c r="C10992">
        <v>649624</v>
      </c>
      <c r="D10992">
        <v>113</v>
      </c>
    </row>
    <row r="10993" spans="1:4" x14ac:dyDescent="0.25">
      <c r="A10993" t="str">
        <f>T("   220410")</f>
        <v xml:space="preserve">   220410</v>
      </c>
      <c r="B10993" t="str">
        <f>T("   Vins mousseux produits à partir de raisins frais")</f>
        <v xml:space="preserve">   Vins mousseux produits à partir de raisins frais</v>
      </c>
      <c r="C10993">
        <v>2342925</v>
      </c>
      <c r="D10993">
        <v>638</v>
      </c>
    </row>
    <row r="10994" spans="1:4" x14ac:dyDescent="0.25">
      <c r="A10994" t="str">
        <f>T("   220429")</f>
        <v xml:space="preserve">   220429</v>
      </c>
      <c r="B10994" t="str">
        <f>T("   VINS DE RAISINS FRAIS, Y.C. LES VINS ENRICHIS EN ALCOOL, ET MOÛTS DE RAISINS DONT LA FERMENTATION A ÉTÉ EMPÊCHÉE OU ARRÊTÉE PAR ADDITION D'ALCOOL, EN RÉCIPIENTS D'UNE CONTENANCE &gt; 2 L (À L'EXCL. DES VINS MOUSSEUX)")</f>
        <v xml:space="preserve">   VINS DE RAISINS FRAIS, Y.C. LES VINS ENRICHIS EN ALCOOL, ET MOÛTS DE RAISINS DONT LA FERMENTATION A ÉTÉ EMPÊCHÉE OU ARRÊTÉE PAR ADDITION D'ALCOOL, EN RÉCIPIENTS D'UNE CONTENANCE &gt; 2 L (À L'EXCL. DES VINS MOUSSEUX)</v>
      </c>
      <c r="C10994">
        <v>7717369</v>
      </c>
      <c r="D10994">
        <v>42876</v>
      </c>
    </row>
    <row r="10995" spans="1:4" x14ac:dyDescent="0.25">
      <c r="A10995" t="str">
        <f>T("   271019")</f>
        <v xml:space="preserve">   271019</v>
      </c>
      <c r="B10995" t="str">
        <f>T("   Huiles moyennes et préparations, de pétrole ou de minéraux bitumineux, n.d.a.")</f>
        <v xml:space="preserve">   Huiles moyennes et préparations, de pétrole ou de minéraux bitumineux, n.d.a.</v>
      </c>
      <c r="C10995">
        <v>2703110477</v>
      </c>
      <c r="D10995">
        <v>12124378</v>
      </c>
    </row>
    <row r="10996" spans="1:4" x14ac:dyDescent="0.25">
      <c r="A10996" t="str">
        <f>T("   271099")</f>
        <v xml:space="preserve">   271099</v>
      </c>
      <c r="B10996" t="str">
        <f>T("   Déchets d'huiles contenant principalement des huiles de pétrole ou de minéraux bitumineux (à l'excl. des celles contenant des diphényles polychlorés [PCB], des terphényles polychlorés [PCT] ou des diphényles polybromés [PBB])")</f>
        <v xml:space="preserve">   Déchets d'huiles contenant principalement des huiles de pétrole ou de minéraux bitumineux (à l'excl. des celles contenant des diphényles polychlorés [PCB], des terphényles polychlorés [PCT] ou des diphényles polybromés [PBB])</v>
      </c>
      <c r="C10996">
        <v>154806</v>
      </c>
      <c r="D10996">
        <v>8</v>
      </c>
    </row>
    <row r="10997" spans="1:4" x14ac:dyDescent="0.25">
      <c r="A10997" t="str">
        <f>T("   271113")</f>
        <v xml:space="preserve">   271113</v>
      </c>
      <c r="B10997" t="str">
        <f>T("   Butanes, liquéfiés (à l'excl. des butanes d'une pureté &gt;= 95% en n-butane ou en isobutane)")</f>
        <v xml:space="preserve">   Butanes, liquéfiés (à l'excl. des butanes d'une pureté &gt;= 95% en n-butane ou en isobutane)</v>
      </c>
      <c r="C10997">
        <v>157272000</v>
      </c>
      <c r="D10997">
        <v>300000</v>
      </c>
    </row>
    <row r="10998" spans="1:4" x14ac:dyDescent="0.25">
      <c r="A10998" t="str">
        <f>T("   271500")</f>
        <v xml:space="preserve">   271500</v>
      </c>
      <c r="B10998" t="str">
        <f>T("   Mastics bitumineux, 'cut-backs' et autres mélanges bitumineux à base d'asphalte ou de bitume naturels, de bitume de pétrole, de goudron minéral ou de brai de goudron minéral")</f>
        <v xml:space="preserve">   Mastics bitumineux, 'cut-backs' et autres mélanges bitumineux à base d'asphalte ou de bitume naturels, de bitume de pétrole, de goudron minéral ou de brai de goudron minéral</v>
      </c>
      <c r="C10998">
        <v>40865836</v>
      </c>
      <c r="D10998">
        <v>143720</v>
      </c>
    </row>
    <row r="10999" spans="1:4" x14ac:dyDescent="0.25">
      <c r="A10999" t="str">
        <f>T("   282810")</f>
        <v xml:space="preserve">   282810</v>
      </c>
      <c r="B10999" t="str">
        <f>T("   Hypochlorites de calcium, y.c. l'hypochlorite de calcium du commerce")</f>
        <v xml:space="preserve">   Hypochlorites de calcium, y.c. l'hypochlorite de calcium du commerce</v>
      </c>
      <c r="C10999">
        <v>16601036</v>
      </c>
      <c r="D10999">
        <v>15254</v>
      </c>
    </row>
    <row r="11000" spans="1:4" x14ac:dyDescent="0.25">
      <c r="A11000" t="str">
        <f>T("   292910")</f>
        <v xml:space="preserve">   292910</v>
      </c>
      <c r="B11000" t="str">
        <f>T("   Isocyanates")</f>
        <v xml:space="preserve">   Isocyanates</v>
      </c>
      <c r="C11000">
        <v>25659187</v>
      </c>
      <c r="D11000">
        <v>19500</v>
      </c>
    </row>
    <row r="11001" spans="1:4" x14ac:dyDescent="0.25">
      <c r="A11001" t="str">
        <f>T("   300490")</f>
        <v xml:space="preserve">   300490</v>
      </c>
      <c r="B11001" t="s">
        <v>80</v>
      </c>
      <c r="C11001">
        <v>1195922</v>
      </c>
      <c r="D11001">
        <v>1583</v>
      </c>
    </row>
    <row r="11002" spans="1:4" x14ac:dyDescent="0.25">
      <c r="A11002" t="str">
        <f>T("   321519")</f>
        <v xml:space="preserve">   321519</v>
      </c>
      <c r="B11002" t="str">
        <f>T("   Encres d'imprimerie, même concentrées ou sous formes solides (à l'excl. des encres noires)")</f>
        <v xml:space="preserve">   Encres d'imprimerie, même concentrées ou sous formes solides (à l'excl. des encres noires)</v>
      </c>
      <c r="C11002">
        <v>289934</v>
      </c>
      <c r="D11002">
        <v>41</v>
      </c>
    </row>
    <row r="11003" spans="1:4" x14ac:dyDescent="0.25">
      <c r="A11003" t="str">
        <f>T("   321590")</f>
        <v xml:space="preserve">   321590</v>
      </c>
      <c r="B11003" t="str">
        <f>T("   Encres à écrire et à dessiner, même concentrées ou sous formes solides")</f>
        <v xml:space="preserve">   Encres à écrire et à dessiner, même concentrées ou sous formes solides</v>
      </c>
      <c r="C11003">
        <v>5499779</v>
      </c>
      <c r="D11003">
        <v>153</v>
      </c>
    </row>
    <row r="11004" spans="1:4" x14ac:dyDescent="0.25">
      <c r="A11004" t="str">
        <f>T("   330300")</f>
        <v xml:space="preserve">   330300</v>
      </c>
      <c r="B11004" t="str">
        <f>T("   Parfums et eaux de toilette (à l'excl. des préparations pour l'après-rasage [lotions after-shave] et des désodorisants corporels)")</f>
        <v xml:space="preserve">   Parfums et eaux de toilette (à l'excl. des préparations pour l'après-rasage [lotions after-shave] et des désodorisants corporels)</v>
      </c>
      <c r="C11004">
        <v>1730474</v>
      </c>
      <c r="D11004">
        <v>302</v>
      </c>
    </row>
    <row r="11005" spans="1:4" x14ac:dyDescent="0.25">
      <c r="A11005" t="str">
        <f>T("   330410")</f>
        <v xml:space="preserve">   330410</v>
      </c>
      <c r="B11005" t="str">
        <f>T("   Produits de maquillage pour les lèvres")</f>
        <v xml:space="preserve">   Produits de maquillage pour les lèvres</v>
      </c>
      <c r="C11005">
        <v>10309822</v>
      </c>
      <c r="D11005">
        <v>1799</v>
      </c>
    </row>
    <row r="11006" spans="1:4" x14ac:dyDescent="0.25">
      <c r="A11006" t="str">
        <f>T("   330420")</f>
        <v xml:space="preserve">   330420</v>
      </c>
      <c r="B11006" t="str">
        <f>T("   Produits de maquillage pour les yeux")</f>
        <v xml:space="preserve">   Produits de maquillage pour les yeux</v>
      </c>
      <c r="C11006">
        <v>224479</v>
      </c>
      <c r="D11006">
        <v>64</v>
      </c>
    </row>
    <row r="11007" spans="1:4" x14ac:dyDescent="0.25">
      <c r="A11007" t="str">
        <f>T("   330499")</f>
        <v xml:space="preserve">   330499</v>
      </c>
      <c r="B11007" t="s">
        <v>101</v>
      </c>
      <c r="C11007">
        <v>8477092</v>
      </c>
      <c r="D11007">
        <v>2946</v>
      </c>
    </row>
    <row r="11008" spans="1:4" x14ac:dyDescent="0.25">
      <c r="A11008" t="str">
        <f>T("   330590")</f>
        <v xml:space="preserve">   330590</v>
      </c>
      <c r="B11008" t="str">
        <f>T("   PRÉPARATIONS CAPILLAIRES (À L'EXCL. DES SHAMPOOINGS, DES LAQUES POUR CHEVEUX ET DES PRÉPARATIONS POUR L'ONDULATION OU LE DÉFRISAGE PERMANENTS)")</f>
        <v xml:space="preserve">   PRÉPARATIONS CAPILLAIRES (À L'EXCL. DES SHAMPOOINGS, DES LAQUES POUR CHEVEUX ET DES PRÉPARATIONS POUR L'ONDULATION OU LE DÉFRISAGE PERMANENTS)</v>
      </c>
      <c r="C11008">
        <v>5844957</v>
      </c>
      <c r="D11008">
        <v>3692</v>
      </c>
    </row>
    <row r="11009" spans="1:4" x14ac:dyDescent="0.25">
      <c r="A11009" t="str">
        <f>T("   330610")</f>
        <v xml:space="preserve">   330610</v>
      </c>
      <c r="B11009" t="str">
        <f>T("   Dentifrices, préparés, même des types utilisés par les dentistes")</f>
        <v xml:space="preserve">   Dentifrices, préparés, même des types utilisés par les dentistes</v>
      </c>
      <c r="C11009">
        <v>4987035</v>
      </c>
      <c r="D11009">
        <v>1097</v>
      </c>
    </row>
    <row r="11010" spans="1:4" x14ac:dyDescent="0.25">
      <c r="A11010" t="str">
        <f>T("   330730")</f>
        <v xml:space="preserve">   330730</v>
      </c>
      <c r="B11010" t="str">
        <f>T("   Sels parfumés et autres préparations pour bains")</f>
        <v xml:space="preserve">   Sels parfumés et autres préparations pour bains</v>
      </c>
      <c r="C11010">
        <v>348453</v>
      </c>
      <c r="D11010">
        <v>60</v>
      </c>
    </row>
    <row r="11011" spans="1:4" x14ac:dyDescent="0.25">
      <c r="A11011" t="str">
        <f>T("   340111")</f>
        <v xml:space="preserve">   340111</v>
      </c>
      <c r="B11011" t="s">
        <v>102</v>
      </c>
      <c r="C11011">
        <v>4613727</v>
      </c>
      <c r="D11011">
        <v>2136</v>
      </c>
    </row>
    <row r="11012" spans="1:4" x14ac:dyDescent="0.25">
      <c r="A11012" t="str">
        <f>T("   340119")</f>
        <v xml:space="preserve">   340119</v>
      </c>
      <c r="B11012" t="s">
        <v>103</v>
      </c>
      <c r="C11012">
        <v>867624</v>
      </c>
      <c r="D11012">
        <v>2750</v>
      </c>
    </row>
    <row r="11013" spans="1:4" x14ac:dyDescent="0.25">
      <c r="A11013" t="str">
        <f>T("   370120")</f>
        <v xml:space="preserve">   370120</v>
      </c>
      <c r="B11013" t="str">
        <f>T("   Films photographiques plans à développement et tirage instantanés, sensibilisés, non impressionnés, même en chargeurs")</f>
        <v xml:space="preserve">   Films photographiques plans à développement et tirage instantanés, sensibilisés, non impressionnés, même en chargeurs</v>
      </c>
      <c r="C11013">
        <v>1500000</v>
      </c>
      <c r="D11013">
        <v>885</v>
      </c>
    </row>
    <row r="11014" spans="1:4" x14ac:dyDescent="0.25">
      <c r="A11014" t="str">
        <f>T("   370390")</f>
        <v xml:space="preserve">   370390</v>
      </c>
      <c r="B11014" t="str">
        <f>T("   PAPIERS, CARTONS ET TEXTILES, PHOTOGRAPHIQUES, SENSIBILISÉS, NON-IMPRESSIONNÉS, POUR LA PHOTOGRAPHIE EN MONOCHROME (À L'EXCL. DES PRODUITS EN ROULEAUX D'UNE LARGEUR &gt; 610 MM)")</f>
        <v xml:space="preserve">   PAPIERS, CARTONS ET TEXTILES, PHOTOGRAPHIQUES, SENSIBILISÉS, NON-IMPRESSIONNÉS, POUR LA PHOTOGRAPHIE EN MONOCHROME (À L'EXCL. DES PRODUITS EN ROULEAUX D'UNE LARGEUR &gt; 610 MM)</v>
      </c>
      <c r="C11014">
        <v>350000</v>
      </c>
      <c r="D11014">
        <v>1935</v>
      </c>
    </row>
    <row r="11015" spans="1:4" x14ac:dyDescent="0.25">
      <c r="A11015" t="str">
        <f>T("   380830")</f>
        <v xml:space="preserve">   380830</v>
      </c>
      <c r="B11015" t="str">
        <f>T("   Herbicides, inhibiteurs de germination et régulateurs de croissance pour plantes, présentés dans des formes ou emballages de vente au détail ou à l'état de préparations ou sous forme d'articles")</f>
        <v xml:space="preserve">   Herbicides, inhibiteurs de germination et régulateurs de croissance pour plantes, présentés dans des formes ou emballages de vente au détail ou à l'état de préparations ou sous forme d'articles</v>
      </c>
      <c r="C11015">
        <v>86717912</v>
      </c>
      <c r="D11015">
        <v>11430</v>
      </c>
    </row>
    <row r="11016" spans="1:4" x14ac:dyDescent="0.25">
      <c r="A11016" t="str">
        <f>T("   392410")</f>
        <v xml:space="preserve">   392410</v>
      </c>
      <c r="B11016" t="str">
        <f>T("   Vaisselle et autres articles pour le service de la table ou de la cuisine, en matières plastiques")</f>
        <v xml:space="preserve">   Vaisselle et autres articles pour le service de la table ou de la cuisine, en matières plastiques</v>
      </c>
      <c r="C11016">
        <v>17576596</v>
      </c>
      <c r="D11016">
        <v>28661</v>
      </c>
    </row>
    <row r="11017" spans="1:4" x14ac:dyDescent="0.25">
      <c r="A11017" t="str">
        <f>T("   392690")</f>
        <v xml:space="preserve">   392690</v>
      </c>
      <c r="B11017" t="str">
        <f>T("   Ouvrages en matières plastiques et ouvrages en autres matières du n° 3901 à 3914, n.d.a.")</f>
        <v xml:space="preserve">   Ouvrages en matières plastiques et ouvrages en autres matières du n° 3901 à 3914, n.d.a.</v>
      </c>
      <c r="C11017">
        <v>2507677</v>
      </c>
      <c r="D11017">
        <v>1127</v>
      </c>
    </row>
    <row r="11018" spans="1:4" x14ac:dyDescent="0.25">
      <c r="A11018" t="str">
        <f>T("   400911")</f>
        <v xml:space="preserve">   400911</v>
      </c>
      <c r="B11018" t="str">
        <f>T("   Tubes et tuyaux en caoutchouc vulcanisé non durci, non renforcés à l'aide d'autres matières ni autrement associés à d'autres matières, sans accessoires")</f>
        <v xml:space="preserve">   Tubes et tuyaux en caoutchouc vulcanisé non durci, non renforcés à l'aide d'autres matières ni autrement associés à d'autres matières, sans accessoires</v>
      </c>
      <c r="C11018">
        <v>2192218</v>
      </c>
      <c r="D11018">
        <v>176</v>
      </c>
    </row>
    <row r="11019" spans="1:4" x14ac:dyDescent="0.25">
      <c r="A11019" t="str">
        <f>T("   400942")</f>
        <v xml:space="preserve">   400942</v>
      </c>
      <c r="B11019" t="s">
        <v>155</v>
      </c>
      <c r="C11019">
        <v>1393230</v>
      </c>
      <c r="D11019">
        <v>94</v>
      </c>
    </row>
    <row r="11020" spans="1:4" x14ac:dyDescent="0.25">
      <c r="A11020" t="str">
        <f>T("   401011")</f>
        <v xml:space="preserve">   401011</v>
      </c>
      <c r="B11020" t="str">
        <f>T("   Courroies transporteuses, en caoutchouc vulcanisé, renforcées seulement de métal")</f>
        <v xml:space="preserve">   Courroies transporteuses, en caoutchouc vulcanisé, renforcées seulement de métal</v>
      </c>
      <c r="C11020">
        <v>3762977</v>
      </c>
      <c r="D11020">
        <v>1460</v>
      </c>
    </row>
    <row r="11021" spans="1:4" x14ac:dyDescent="0.25">
      <c r="A11021" t="str">
        <f>T("   401019")</f>
        <v xml:space="preserve">   401019</v>
      </c>
      <c r="B11021" t="str">
        <f>T("   Courroies transporteuses, en caoutchouc vulcanisé (à l'excl. des produits renforcés seulement de métal, de matières textiles ou de matières plastiques)")</f>
        <v xml:space="preserve">   Courroies transporteuses, en caoutchouc vulcanisé (à l'excl. des produits renforcés seulement de métal, de matières textiles ou de matières plastiques)</v>
      </c>
      <c r="C11021">
        <v>1079017</v>
      </c>
      <c r="D11021">
        <v>85</v>
      </c>
    </row>
    <row r="11022" spans="1:4" x14ac:dyDescent="0.25">
      <c r="A11022" t="str">
        <f>T("   401039")</f>
        <v xml:space="preserve">   401039</v>
      </c>
      <c r="B11022" t="s">
        <v>157</v>
      </c>
      <c r="C11022">
        <v>1233280</v>
      </c>
      <c r="D11022">
        <v>41</v>
      </c>
    </row>
    <row r="11023" spans="1:4" x14ac:dyDescent="0.25">
      <c r="A11023" t="str">
        <f>T("   401211")</f>
        <v xml:space="preserve">   401211</v>
      </c>
      <c r="B11023" t="str">
        <f>T("   Pneumatiques rechapés, en caoutchouc, des types utilisés pour les voitures de tourisme, y.c. les voitures du type 'break' et les voitures de course")</f>
        <v xml:space="preserve">   Pneumatiques rechapés, en caoutchouc, des types utilisés pour les voitures de tourisme, y.c. les voitures du type 'break' et les voitures de course</v>
      </c>
      <c r="C11023">
        <v>525000</v>
      </c>
      <c r="D11023">
        <v>3144</v>
      </c>
    </row>
    <row r="11024" spans="1:4" x14ac:dyDescent="0.25">
      <c r="A11024" t="str">
        <f>T("   401212")</f>
        <v xml:space="preserve">   401212</v>
      </c>
      <c r="B11024" t="str">
        <f>T("   Pneumatiques rechapés, en caoutchouc, des types utilisés pour les autobus ou camions")</f>
        <v xml:space="preserve">   Pneumatiques rechapés, en caoutchouc, des types utilisés pour les autobus ou camions</v>
      </c>
      <c r="C11024">
        <v>2625000</v>
      </c>
      <c r="D11024">
        <v>5000</v>
      </c>
    </row>
    <row r="11025" spans="1:4" x14ac:dyDescent="0.25">
      <c r="A11025" t="str">
        <f>T("   401219")</f>
        <v xml:space="preserve">   401219</v>
      </c>
      <c r="B11025" t="str">
        <f>T("   Pneumatiques rechapés, en caoutchouc (à l'excl. des pneumatiques des types utilisés pour les voitures de tourisme, les voitures du type 'break', les voitures de course, les autobus, les camions ou les véhicules aériens)")</f>
        <v xml:space="preserve">   Pneumatiques rechapés, en caoutchouc (à l'excl. des pneumatiques des types utilisés pour les voitures de tourisme, les voitures du type 'break', les voitures de course, les autobus, les camions ou les véhicules aériens)</v>
      </c>
      <c r="C11025">
        <v>60348</v>
      </c>
      <c r="D11025">
        <v>150</v>
      </c>
    </row>
    <row r="11026" spans="1:4" x14ac:dyDescent="0.25">
      <c r="A11026" t="str">
        <f>T("   401220")</f>
        <v xml:space="preserve">   401220</v>
      </c>
      <c r="B11026" t="str">
        <f>T("   Pneumatiques usagés, en caoutchouc")</f>
        <v xml:space="preserve">   Pneumatiques usagés, en caoutchouc</v>
      </c>
      <c r="C11026">
        <v>8316859</v>
      </c>
      <c r="D11026">
        <v>8471</v>
      </c>
    </row>
    <row r="11027" spans="1:4" x14ac:dyDescent="0.25">
      <c r="A11027" t="str">
        <f>T("   401410")</f>
        <v xml:space="preserve">   401410</v>
      </c>
      <c r="B11027" t="str">
        <f>T("   Préservatifs en caoutchouc vulcanisé non durci")</f>
        <v xml:space="preserve">   Préservatifs en caoutchouc vulcanisé non durci</v>
      </c>
      <c r="C11027">
        <v>3907028</v>
      </c>
      <c r="D11027">
        <v>133.19999999999999</v>
      </c>
    </row>
    <row r="11028" spans="1:4" x14ac:dyDescent="0.25">
      <c r="A11028" t="str">
        <f>T("   401693")</f>
        <v xml:space="preserve">   401693</v>
      </c>
      <c r="B11028" t="str">
        <f>T("   Joints en caoutchouc vulcanisé non durci (à l'excl. des articles en caoutchouc alvéolaire)")</f>
        <v xml:space="preserve">   Joints en caoutchouc vulcanisé non durci (à l'excl. des articles en caoutchouc alvéolaire)</v>
      </c>
      <c r="C11028">
        <v>4314906</v>
      </c>
      <c r="D11028">
        <v>141</v>
      </c>
    </row>
    <row r="11029" spans="1:4" x14ac:dyDescent="0.25">
      <c r="A11029" t="str">
        <f>T("   420219")</f>
        <v xml:space="preserve">   420219</v>
      </c>
      <c r="B11029" t="s">
        <v>162</v>
      </c>
      <c r="C11029">
        <v>2101143</v>
      </c>
      <c r="D11029">
        <v>1944</v>
      </c>
    </row>
    <row r="11030" spans="1:4" x14ac:dyDescent="0.25">
      <c r="A11030" t="str">
        <f>T("   420229")</f>
        <v xml:space="preserve">   420229</v>
      </c>
      <c r="B11030"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11030">
        <v>175458</v>
      </c>
      <c r="D11030">
        <v>1100</v>
      </c>
    </row>
    <row r="11031" spans="1:4" x14ac:dyDescent="0.25">
      <c r="A11031" t="str">
        <f>T("   420299")</f>
        <v xml:space="preserve">   420299</v>
      </c>
      <c r="B11031" t="s">
        <v>165</v>
      </c>
      <c r="C11031">
        <v>132504</v>
      </c>
      <c r="D11031">
        <v>300</v>
      </c>
    </row>
    <row r="11032" spans="1:4" x14ac:dyDescent="0.25">
      <c r="A11032" t="str">
        <f>T("   420330")</f>
        <v xml:space="preserve">   420330</v>
      </c>
      <c r="B11032" t="str">
        <f>T("   Ceintures, ceinturons et baudriers, en cuir naturel ou reconstitué")</f>
        <v xml:space="preserve">   Ceintures, ceinturons et baudriers, en cuir naturel ou reconstitué</v>
      </c>
      <c r="C11032">
        <v>454524</v>
      </c>
      <c r="D11032">
        <v>1600</v>
      </c>
    </row>
    <row r="11033" spans="1:4" x14ac:dyDescent="0.25">
      <c r="A11033" t="str">
        <f>T("   440799")</f>
        <v xml:space="preserve">   440799</v>
      </c>
      <c r="B11033" t="s">
        <v>171</v>
      </c>
      <c r="C11033">
        <v>1200000</v>
      </c>
      <c r="D11033">
        <v>10000</v>
      </c>
    </row>
    <row r="11034" spans="1:4" x14ac:dyDescent="0.25">
      <c r="A11034" t="str">
        <f>T("   441820")</f>
        <v xml:space="preserve">   441820</v>
      </c>
      <c r="B11034" t="str">
        <f>T("   Portes et leurs cadres, chambranles et seuils, en bois")</f>
        <v xml:space="preserve">   Portes et leurs cadres, chambranles et seuils, en bois</v>
      </c>
      <c r="C11034">
        <v>200068</v>
      </c>
      <c r="D11034">
        <v>242</v>
      </c>
    </row>
    <row r="11035" spans="1:4" x14ac:dyDescent="0.25">
      <c r="A11035" t="str">
        <f>T("   480790")</f>
        <v xml:space="preserve">   480790</v>
      </c>
      <c r="B11035" t="s">
        <v>204</v>
      </c>
      <c r="C11035">
        <v>264300</v>
      </c>
      <c r="D11035">
        <v>28</v>
      </c>
    </row>
    <row r="11036" spans="1:4" x14ac:dyDescent="0.25">
      <c r="A11036" t="str">
        <f>T("   480920")</f>
        <v xml:space="preserve">   480920</v>
      </c>
      <c r="B11036" t="str">
        <f>T("   PAPIERS DITS 'AUTOCOPIANTS', MÊME IMPRIMÉS, EN ROULEAUX D'UNE LARGEUR &gt; 36 CM OU EN FEUILLES DE FORME CARRÉE OU RECTANGULAIRE DONT UN CÔTÉ AU MOINS &gt; 36 CM À L'ÉTAT NON-PLIÉ (À L'EXCL. DES PAPIERS CARBONE ET DES PAPIERS SIMIL.)")</f>
        <v xml:space="preserve">   PAPIERS DITS 'AUTOCOPIANTS', MÊME IMPRIMÉS, EN ROULEAUX D'UNE LARGEUR &gt; 36 CM OU EN FEUILLES DE FORME CARRÉE OU RECTANGULAIRE DONT UN CÔTÉ AU MOINS &gt; 36 CM À L'ÉTAT NON-PLIÉ (À L'EXCL. DES PAPIERS CARBONE ET DES PAPIERS SIMIL.)</v>
      </c>
      <c r="C11036">
        <v>13914204</v>
      </c>
      <c r="D11036">
        <v>13467</v>
      </c>
    </row>
    <row r="11037" spans="1:4" x14ac:dyDescent="0.25">
      <c r="A11037" t="str">
        <f>T("   481820")</f>
        <v xml:space="preserve">   481820</v>
      </c>
      <c r="B11037" t="str">
        <f>T("   Mouchoirs, serviettes à démaquiller et essuie-mains, en pâte à papier, papier, ouate de cellulose ou nappes de fibres de cellulose")</f>
        <v xml:space="preserve">   Mouchoirs, serviettes à démaquiller et essuie-mains, en pâte à papier, papier, ouate de cellulose ou nappes de fibres de cellulose</v>
      </c>
      <c r="C11037">
        <v>1669576</v>
      </c>
      <c r="D11037">
        <v>6298</v>
      </c>
    </row>
    <row r="11038" spans="1:4" x14ac:dyDescent="0.25">
      <c r="A11038" t="str">
        <f>T("   481830")</f>
        <v xml:space="preserve">   481830</v>
      </c>
      <c r="B11038" t="str">
        <f>T("   Nappes et serviettes de table, en pâte à papier, papier, ouate de cellulose ou nappes de fibres de cellulose")</f>
        <v xml:space="preserve">   Nappes et serviettes de table, en pâte à papier, papier, ouate de cellulose ou nappes de fibres de cellulose</v>
      </c>
      <c r="C11038">
        <v>888715</v>
      </c>
      <c r="D11038">
        <v>1120</v>
      </c>
    </row>
    <row r="11039" spans="1:4" x14ac:dyDescent="0.25">
      <c r="A11039" t="str">
        <f>T("   481840")</f>
        <v xml:space="preserve">   481840</v>
      </c>
      <c r="B11039"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11039">
        <v>5140070</v>
      </c>
      <c r="D11039">
        <v>6184</v>
      </c>
    </row>
    <row r="11040" spans="1:4" x14ac:dyDescent="0.25">
      <c r="A11040" t="str">
        <f>T("   481910")</f>
        <v xml:space="preserve">   481910</v>
      </c>
      <c r="B11040" t="str">
        <f>T("   Boîtes et caisses en papier ou en carton ondulé")</f>
        <v xml:space="preserve">   Boîtes et caisses en papier ou en carton ondulé</v>
      </c>
      <c r="C11040">
        <v>5818568</v>
      </c>
      <c r="D11040">
        <v>1296</v>
      </c>
    </row>
    <row r="11041" spans="1:4" x14ac:dyDescent="0.25">
      <c r="A11041" t="str">
        <f>T("   482090")</f>
        <v xml:space="preserve">   482090</v>
      </c>
      <c r="B11041" t="s">
        <v>219</v>
      </c>
      <c r="C11041">
        <v>4093111</v>
      </c>
      <c r="D11041">
        <v>1000</v>
      </c>
    </row>
    <row r="11042" spans="1:4" x14ac:dyDescent="0.25">
      <c r="A11042" t="str">
        <f>T("   490199")</f>
        <v xml:space="preserve">   490199</v>
      </c>
      <c r="B11042"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11042">
        <v>66112662</v>
      </c>
      <c r="D11042">
        <v>107550</v>
      </c>
    </row>
    <row r="11043" spans="1:4" x14ac:dyDescent="0.25">
      <c r="A11043" t="str">
        <f>T("   491110")</f>
        <v xml:space="preserve">   491110</v>
      </c>
      <c r="B11043" t="str">
        <f>T("   Imprimés publicitaires, catalogues commerciaux et simil.")</f>
        <v xml:space="preserve">   Imprimés publicitaires, catalogues commerciaux et simil.</v>
      </c>
      <c r="C11043">
        <v>70000</v>
      </c>
      <c r="D11043">
        <v>60</v>
      </c>
    </row>
    <row r="11044" spans="1:4" x14ac:dyDescent="0.25">
      <c r="A11044" t="str">
        <f>T("   520849")</f>
        <v xml:space="preserve">   520849</v>
      </c>
      <c r="B11044" t="str">
        <f>T("   Tissus de coton, en fils de diverses couleurs, contenant &gt;= 85% en poids de coton, d'un poids &lt;= 200 g/m² (à l'excl. des tissus à armure toile ou à armure sergé [y.c. le croisé] d'un rapport d'armure &lt;= 4)")</f>
        <v xml:space="preserve">   Tissus de coton, en fils de diverses couleurs, contenant &gt;= 85% en poids de coton, d'un poids &lt;= 200 g/m² (à l'excl. des tissus à armure toile ou à armure sergé [y.c. le croisé] d'un rapport d'armure &lt;= 4)</v>
      </c>
      <c r="C11044">
        <v>236497</v>
      </c>
      <c r="D11044">
        <v>1200</v>
      </c>
    </row>
    <row r="11045" spans="1:4" x14ac:dyDescent="0.25">
      <c r="A11045" t="str">
        <f>T("   560110")</f>
        <v xml:space="preserve">   560110</v>
      </c>
      <c r="B11045" t="str">
        <f>T("   Serviettes et tampons hygiéniques, couches pour bébés et articles hygiéniques simil., en ouates")</f>
        <v xml:space="preserve">   Serviettes et tampons hygiéniques, couches pour bébés et articles hygiéniques simil., en ouates</v>
      </c>
      <c r="C11045">
        <v>531120</v>
      </c>
      <c r="D11045">
        <v>610</v>
      </c>
    </row>
    <row r="11046" spans="1:4" x14ac:dyDescent="0.25">
      <c r="A11046" t="str">
        <f>T("   570110")</f>
        <v xml:space="preserve">   570110</v>
      </c>
      <c r="B11046" t="str">
        <f>T("   Tapis de laine ou de poils fins, à points noués ou enroulés, même confectionnés")</f>
        <v xml:space="preserve">   Tapis de laine ou de poils fins, à points noués ou enroulés, même confectionnés</v>
      </c>
      <c r="C11046">
        <v>279389</v>
      </c>
      <c r="D11046">
        <v>1175</v>
      </c>
    </row>
    <row r="11047" spans="1:4" x14ac:dyDescent="0.25">
      <c r="A11047" t="str">
        <f>T("   590900")</f>
        <v xml:space="preserve">   590900</v>
      </c>
      <c r="B11047" t="str">
        <f>T("   Tuyaux pour pompes et tuyaux simil., en matières textiles, même imprégnés ou enduits, même avec armatures ou accessoires en autres matières")</f>
        <v xml:space="preserve">   Tuyaux pour pompes et tuyaux simil., en matières textiles, même imprégnés ou enduits, même avec armatures ou accessoires en autres matières</v>
      </c>
      <c r="C11047">
        <v>3358901</v>
      </c>
      <c r="D11047">
        <v>163.19999999999999</v>
      </c>
    </row>
    <row r="11048" spans="1:4" x14ac:dyDescent="0.25">
      <c r="A11048" t="str">
        <f>T("   610319")</f>
        <v xml:space="preserve">   610319</v>
      </c>
      <c r="B11048" t="str">
        <f>T("   Costumes ou complets en bonneterie, de matières textiles, pour hommes ou garçonnets (sauf de laine, poils fins ou fibres synthétiques et sauf survêtements de sport 'trainings', combinaisons et ensembles de ski, maillots, culottes et slips de bain)")</f>
        <v xml:space="preserve">   Costumes ou complets en bonneterie, de matières textiles, pour hommes ou garçonnets (sauf de laine, poils fins ou fibres synthétiques et sauf survêtements de sport 'trainings', combinaisons et ensembles de ski, maillots, culottes et slips de bain)</v>
      </c>
      <c r="C11048">
        <v>167773</v>
      </c>
      <c r="D11048">
        <v>30</v>
      </c>
    </row>
    <row r="11049" spans="1:4" x14ac:dyDescent="0.25">
      <c r="A11049" t="str">
        <f>T("   610342")</f>
        <v xml:space="preserve">   610342</v>
      </c>
      <c r="B11049" t="str">
        <f>T("   PANTALONS, Y.C. KNICKERS ET PANTALONS SIMIL., SALOPETTES À BRETELLES, CULOTTES ET SHORTS, EN BONNETERIE, DE COTON, POUR HOMMES OU GARÇONNETS (SAUF CALETHONS ET SLIPS DE BAIN)")</f>
        <v xml:space="preserve">   PANTALONS, Y.C. KNICKERS ET PANTALONS SIMIL., SALOPETTES À BRETELLES, CULOTTES ET SHORTS, EN BONNETERIE, DE COTON, POUR HOMMES OU GARÇONNETS (SAUF CALETHONS ET SLIPS DE BAIN)</v>
      </c>
      <c r="C11049">
        <v>179692</v>
      </c>
      <c r="D11049">
        <v>1200</v>
      </c>
    </row>
    <row r="11050" spans="1:4" x14ac:dyDescent="0.25">
      <c r="A11050" t="str">
        <f>T("   610590")</f>
        <v xml:space="preserve">   610590</v>
      </c>
      <c r="B11050" t="str">
        <f>T("   Chemises et chemisettes, en bonneterie, de matières textiles, pour hommes ou garçonnets (sauf de coton, fibres synthétiques ou artificielles et sauf chemises de nuit, T-shirts et maillots de corps)")</f>
        <v xml:space="preserve">   Chemises et chemisettes, en bonneterie, de matières textiles, pour hommes ou garçonnets (sauf de coton, fibres synthétiques ou artificielles et sauf chemises de nuit, T-shirts et maillots de corps)</v>
      </c>
      <c r="C11050">
        <v>385933</v>
      </c>
      <c r="D11050">
        <v>33</v>
      </c>
    </row>
    <row r="11051" spans="1:4" x14ac:dyDescent="0.25">
      <c r="A11051" t="str">
        <f>T("   610910")</f>
        <v xml:space="preserve">   610910</v>
      </c>
      <c r="B11051" t="str">
        <f>T("   T-shirts et maillots de corps, en bonneterie, de coton,")</f>
        <v xml:space="preserve">   T-shirts et maillots de corps, en bonneterie, de coton,</v>
      </c>
      <c r="C11051">
        <v>335570</v>
      </c>
      <c r="D11051">
        <v>540</v>
      </c>
    </row>
    <row r="11052" spans="1:4" x14ac:dyDescent="0.25">
      <c r="A11052" t="str">
        <f>T("   620469")</f>
        <v xml:space="preserve">   620469</v>
      </c>
      <c r="B11052" t="s">
        <v>267</v>
      </c>
      <c r="C11052">
        <v>167214</v>
      </c>
      <c r="D11052">
        <v>1000</v>
      </c>
    </row>
    <row r="11053" spans="1:4" x14ac:dyDescent="0.25">
      <c r="A11053" t="str">
        <f>T("   620590")</f>
        <v xml:space="preserve">   620590</v>
      </c>
      <c r="B11053"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1053">
        <v>2189298</v>
      </c>
      <c r="D11053">
        <v>4515</v>
      </c>
    </row>
    <row r="11054" spans="1:4" x14ac:dyDescent="0.25">
      <c r="A11054" t="str">
        <f>T("   620690")</f>
        <v xml:space="preserve">   620690</v>
      </c>
      <c r="B11054" t="s">
        <v>268</v>
      </c>
      <c r="C11054">
        <v>1438050</v>
      </c>
      <c r="D11054">
        <v>312</v>
      </c>
    </row>
    <row r="11055" spans="1:4" x14ac:dyDescent="0.25">
      <c r="A11055" t="str">
        <f>T("   620899")</f>
        <v xml:space="preserve">   620899</v>
      </c>
      <c r="B11055" t="s">
        <v>270</v>
      </c>
      <c r="C11055">
        <v>279389</v>
      </c>
      <c r="D11055">
        <v>725</v>
      </c>
    </row>
    <row r="11056" spans="1:4" x14ac:dyDescent="0.25">
      <c r="A11056" t="str">
        <f>T("   621040")</f>
        <v xml:space="preserve">   621040</v>
      </c>
      <c r="B11056" t="s">
        <v>271</v>
      </c>
      <c r="C11056">
        <v>5686108</v>
      </c>
      <c r="D11056">
        <v>10955</v>
      </c>
    </row>
    <row r="11057" spans="1:4" x14ac:dyDescent="0.25">
      <c r="A11057" t="str">
        <f>T("   621050")</f>
        <v xml:space="preserve">   621050</v>
      </c>
      <c r="B11057" t="s">
        <v>272</v>
      </c>
      <c r="C11057">
        <v>1154300</v>
      </c>
      <c r="D11057">
        <v>365</v>
      </c>
    </row>
    <row r="11058" spans="1:4" x14ac:dyDescent="0.25">
      <c r="A11058" t="str">
        <f>T("   621149")</f>
        <v xml:space="preserve">   621149</v>
      </c>
      <c r="B11058" t="str">
        <f>T("   Survêtements de sport 'trainings' et autres vêtements n.d.a., de matières textiles, pour femmes ou fillettes (autres que de laine, poils fins, coton, fibres synthétiques ou artificielles, autres qu'en bonneterie)")</f>
        <v xml:space="preserve">   Survêtements de sport 'trainings' et autres vêtements n.d.a., de matières textiles, pour femmes ou fillettes (autres que de laine, poils fins, coton, fibres synthétiques ou artificielles, autres qu'en bonneterie)</v>
      </c>
      <c r="C11058">
        <v>475571</v>
      </c>
      <c r="D11058">
        <v>950</v>
      </c>
    </row>
    <row r="11059" spans="1:4" x14ac:dyDescent="0.25">
      <c r="A11059" t="str">
        <f>T("   630533")</f>
        <v xml:space="preserve">   630533</v>
      </c>
      <c r="B11059" t="str">
        <f>T("   Sacs et sachets d'emballage obtenus à partir de lames ou formes simil., de polyéthylène ou polypropylène (à l'excl. des contenants souples pour matières en vrac)")</f>
        <v xml:space="preserve">   Sacs et sachets d'emballage obtenus à partir de lames ou formes simil., de polyéthylène ou polypropylène (à l'excl. des contenants souples pour matières en vrac)</v>
      </c>
      <c r="C11059">
        <v>138980</v>
      </c>
      <c r="D11059">
        <v>1200</v>
      </c>
    </row>
    <row r="11060" spans="1:4" x14ac:dyDescent="0.25">
      <c r="A11060" t="str">
        <f>T("   630539")</f>
        <v xml:space="preserve">   630539</v>
      </c>
      <c r="B11060" t="str">
        <f>T("   Sacs et sachets d'emballage de matières synthétiques ou artificielles (autres qu'en lames ou formes simil. de polyéthylène ou de polypropylène ainsi que contenants souples pour matières en vrac)")</f>
        <v xml:space="preserve">   Sacs et sachets d'emballage de matières synthétiques ou artificielles (autres qu'en lames ou formes simil. de polyéthylène ou de polypropylène ainsi que contenants souples pour matières en vrac)</v>
      </c>
      <c r="C11060">
        <v>2232000</v>
      </c>
      <c r="D11060">
        <v>79805</v>
      </c>
    </row>
    <row r="11061" spans="1:4" x14ac:dyDescent="0.25">
      <c r="A11061" t="str">
        <f>T("   630900")</f>
        <v xml:space="preserve">   630900</v>
      </c>
      <c r="B11061" t="s">
        <v>278</v>
      </c>
      <c r="C11061">
        <v>1102524114</v>
      </c>
      <c r="D11061">
        <v>1957390</v>
      </c>
    </row>
    <row r="11062" spans="1:4" x14ac:dyDescent="0.25">
      <c r="A11062" t="str">
        <f>T("   640590")</f>
        <v xml:space="preserve">   640590</v>
      </c>
      <c r="B11062" t="s">
        <v>289</v>
      </c>
      <c r="C11062">
        <v>306785</v>
      </c>
      <c r="D11062">
        <v>250</v>
      </c>
    </row>
    <row r="11063" spans="1:4" x14ac:dyDescent="0.25">
      <c r="A11063" t="str">
        <f>T("   650590")</f>
        <v xml:space="preserve">   650590</v>
      </c>
      <c r="B11063" t="s">
        <v>290</v>
      </c>
      <c r="C11063">
        <v>553650</v>
      </c>
      <c r="D11063">
        <v>1160</v>
      </c>
    </row>
    <row r="11064" spans="1:4" x14ac:dyDescent="0.25">
      <c r="A11064" t="str">
        <f>T("   650610")</f>
        <v xml:space="preserve">   650610</v>
      </c>
      <c r="B11064" t="str">
        <f>T("   Coiffures de sécurité, même garnies")</f>
        <v xml:space="preserve">   Coiffures de sécurité, même garnies</v>
      </c>
      <c r="C11064">
        <v>20000</v>
      </c>
      <c r="D11064">
        <v>3</v>
      </c>
    </row>
    <row r="11065" spans="1:4" x14ac:dyDescent="0.25">
      <c r="A11065" t="str">
        <f>T("   650699")</f>
        <v xml:space="preserve">   650699</v>
      </c>
      <c r="B11065" t="str">
        <f>T("   Chapeaux et autres coiffures, même garnis, n.d.a.")</f>
        <v xml:space="preserve">   Chapeaux et autres coiffures, même garnis, n.d.a.</v>
      </c>
      <c r="C11065">
        <v>113518</v>
      </c>
      <c r="D11065">
        <v>800</v>
      </c>
    </row>
    <row r="11066" spans="1:4" x14ac:dyDescent="0.25">
      <c r="A11066" t="str">
        <f>T("   690890")</f>
        <v xml:space="preserve">   690890</v>
      </c>
      <c r="B11066" t="s">
        <v>311</v>
      </c>
      <c r="C11066">
        <v>20907200</v>
      </c>
      <c r="D11066">
        <v>31799</v>
      </c>
    </row>
    <row r="11067" spans="1:4" x14ac:dyDescent="0.25">
      <c r="A11067" t="str">
        <f>T("   691010")</f>
        <v xml:space="preserve">   691010</v>
      </c>
      <c r="B11067" t="s">
        <v>312</v>
      </c>
      <c r="C11067">
        <v>300000</v>
      </c>
      <c r="D11067">
        <v>391</v>
      </c>
    </row>
    <row r="11068" spans="1:4" x14ac:dyDescent="0.25">
      <c r="A11068" t="str">
        <f>T("   691090")</f>
        <v xml:space="preserve">   691090</v>
      </c>
      <c r="B11068" t="s">
        <v>313</v>
      </c>
      <c r="C11068">
        <v>5772520</v>
      </c>
      <c r="D11068">
        <v>1898</v>
      </c>
    </row>
    <row r="11069" spans="1:4" x14ac:dyDescent="0.25">
      <c r="A11069" t="str">
        <f>T("   700711")</f>
        <v xml:space="preserve">   700711</v>
      </c>
      <c r="B11069" t="str">
        <f>T("   VERRES TREMPÉS DE DIMENSIONS ET FORMATS PERMETTANT LEUR EMPLOI DANS LES AUTOMOBILES, VÉHICULES AÉRIENS, BATEAUX OU AUTRES VÉHICULES [01/01/1988-31/12/1988: VERRES TREMPES, -DE SECURITE-, POUR AUTOMOBILES, AERODYNES, BATEAUX OU AUTRES VÉHICULES]")</f>
        <v xml:space="preserve">   VERRES TREMPÉS DE DIMENSIONS ET FORMATS PERMETTANT LEUR EMPLOI DANS LES AUTOMOBILES, VÉHICULES AÉRIENS, BATEAUX OU AUTRES VÉHICULES [01/01/1988-31/12/1988: VERRES TREMPES, -DE SECURITE-, POUR AUTOMOBILES, AERODYNES, BATEAUX OU AUTRES VÉHICULES]</v>
      </c>
      <c r="C11069">
        <v>185637</v>
      </c>
      <c r="D11069">
        <v>6</v>
      </c>
    </row>
    <row r="11070" spans="1:4" x14ac:dyDescent="0.25">
      <c r="A11070" t="str">
        <f>T("   701329")</f>
        <v xml:space="preserve">   701329</v>
      </c>
      <c r="B11070" t="str">
        <f>T("   Verres à boire (autres qu'en vitrocérame, autres qu'en cristal au plomb)")</f>
        <v xml:space="preserve">   Verres à boire (autres qu'en vitrocérame, autres qu'en cristal au plomb)</v>
      </c>
      <c r="C11070">
        <v>405942</v>
      </c>
      <c r="D11070">
        <v>115</v>
      </c>
    </row>
    <row r="11071" spans="1:4" x14ac:dyDescent="0.25">
      <c r="A11071" t="str">
        <f>T("   720450")</f>
        <v xml:space="preserve">   720450</v>
      </c>
      <c r="B11071" t="str">
        <f>T("   Déchets lingotés en fer ou en acier (à l'excl. des produits répondant, en ce qui concerne leur composition chimique, aux définitions des fontes brutes, des fontes spiegel ou des ferro-alliages)")</f>
        <v xml:space="preserve">   Déchets lingotés en fer ou en acier (à l'excl. des produits répondant, en ce qui concerne leur composition chimique, aux définitions des fontes brutes, des fontes spiegel ou des ferro-alliages)</v>
      </c>
      <c r="C11071">
        <v>3225000</v>
      </c>
      <c r="D11071">
        <v>19958</v>
      </c>
    </row>
    <row r="11072" spans="1:4" x14ac:dyDescent="0.25">
      <c r="A11072" t="str">
        <f>T("   721790")</f>
        <v xml:space="preserve">   721790</v>
      </c>
      <c r="B11072" t="str">
        <f>T("   FILS EN FER OU EN ACIERS NON-ALLIÉS, ENROULÉS, REVÊTUS (À L'EXCL. DU FIL MACHINE AINSI QUE DES FILS REVÊTUS DE MÉTAUX COMMUNS)")</f>
        <v xml:space="preserve">   FILS EN FER OU EN ACIERS NON-ALLIÉS, ENROULÉS, REVÊTUS (À L'EXCL. DU FIL MACHINE AINSI QUE DES FILS REVÊTUS DE MÉTAUX COMMUNS)</v>
      </c>
      <c r="C11072">
        <v>1798898</v>
      </c>
      <c r="D11072">
        <v>2490</v>
      </c>
    </row>
    <row r="11073" spans="1:4" x14ac:dyDescent="0.25">
      <c r="A11073" t="str">
        <f>T("   730410")</f>
        <v xml:space="preserve">   730410</v>
      </c>
      <c r="B11073" t="str">
        <f>T("   Tubes et tuyaux sans soudure, en fer (à l'excl. de la fonte) ou en acier, des types utilisés pour oléoducs ou gazoducs")</f>
        <v xml:space="preserve">   Tubes et tuyaux sans soudure, en fer (à l'excl. de la fonte) ou en acier, des types utilisés pour oléoducs ou gazoducs</v>
      </c>
      <c r="C11073">
        <v>737008504</v>
      </c>
      <c r="D11073">
        <v>13675.2</v>
      </c>
    </row>
    <row r="11074" spans="1:4" x14ac:dyDescent="0.25">
      <c r="A11074" t="str">
        <f>T("   730830")</f>
        <v xml:space="preserve">   730830</v>
      </c>
      <c r="B11074" t="str">
        <f>T("   Portes, fenêtres et leurs cadres et chambranles ainsi que leurs seuils, en fer ou en acier")</f>
        <v xml:space="preserve">   Portes, fenêtres et leurs cadres et chambranles ainsi que leurs seuils, en fer ou en acier</v>
      </c>
      <c r="C11074">
        <v>12545680</v>
      </c>
      <c r="D11074">
        <v>1925</v>
      </c>
    </row>
    <row r="11075" spans="1:4" x14ac:dyDescent="0.25">
      <c r="A11075" t="str">
        <f>T("   730890")</f>
        <v xml:space="preserve">   730890</v>
      </c>
      <c r="B11075" t="s">
        <v>355</v>
      </c>
      <c r="C11075">
        <v>7176465</v>
      </c>
      <c r="D11075">
        <v>2087</v>
      </c>
    </row>
    <row r="11076" spans="1:4" x14ac:dyDescent="0.25">
      <c r="A11076" t="str">
        <f>T("   731815")</f>
        <v xml:space="preserve">   731815</v>
      </c>
      <c r="B11076" t="s">
        <v>359</v>
      </c>
      <c r="C11076">
        <v>8436815</v>
      </c>
      <c r="D11076">
        <v>384</v>
      </c>
    </row>
    <row r="11077" spans="1:4" x14ac:dyDescent="0.25">
      <c r="A11077" t="str">
        <f>T("   731816")</f>
        <v xml:space="preserve">   731816</v>
      </c>
      <c r="B11077" t="str">
        <f>T("   ÉCROUS EN FONTE, FER OU ACIER")</f>
        <v xml:space="preserve">   ÉCROUS EN FONTE, FER OU ACIER</v>
      </c>
      <c r="C11077">
        <v>111514</v>
      </c>
      <c r="D11077">
        <v>4</v>
      </c>
    </row>
    <row r="11078" spans="1:4" x14ac:dyDescent="0.25">
      <c r="A11078" t="str">
        <f>T("   731822")</f>
        <v xml:space="preserve">   731822</v>
      </c>
      <c r="B11078" t="str">
        <f>T("   Rondelles en fonte, fer ou acier (sauf rondelles destinées à faire ressort et autres rondelles de blocage)")</f>
        <v xml:space="preserve">   Rondelles en fonte, fer ou acier (sauf rondelles destinées à faire ressort et autres rondelles de blocage)</v>
      </c>
      <c r="C11078">
        <v>68876</v>
      </c>
      <c r="D11078">
        <v>2</v>
      </c>
    </row>
    <row r="11079" spans="1:4" x14ac:dyDescent="0.25">
      <c r="A11079" t="str">
        <f>T("   731824")</f>
        <v xml:space="preserve">   731824</v>
      </c>
      <c r="B11079" t="str">
        <f>T("   Goupilles, chevilles et clavettes en fonte, fer ou acier")</f>
        <v xml:space="preserve">   Goupilles, chevilles et clavettes en fonte, fer ou acier</v>
      </c>
      <c r="C11079">
        <v>58381</v>
      </c>
      <c r="D11079">
        <v>9</v>
      </c>
    </row>
    <row r="11080" spans="1:4" x14ac:dyDescent="0.25">
      <c r="A11080" t="str">
        <f>T("   731829")</f>
        <v xml:space="preserve">   731829</v>
      </c>
      <c r="B11080" t="str">
        <f>T("   Articles de boulonnerie et de visserie non filetés, en fonte, fer ou acier, n.d.a.")</f>
        <v xml:space="preserve">   Articles de boulonnerie et de visserie non filetés, en fonte, fer ou acier, n.d.a.</v>
      </c>
      <c r="C11080">
        <v>810111</v>
      </c>
      <c r="D11080">
        <v>43</v>
      </c>
    </row>
    <row r="11081" spans="1:4" x14ac:dyDescent="0.25">
      <c r="A11081" t="str">
        <f>T("   732020")</f>
        <v xml:space="preserve">   732020</v>
      </c>
      <c r="B11081" t="str">
        <f>T("   RESSORTS EN HÉLICE EN FER OU EN ACIER (À L'EXCL. DES RESSORTS SPIRAUX PLATS, RESSORTS DE MONTRES, RESSORTS POUR CANNES ET MANCHES DE PARAPLUIES ET DE PARASOLS ET SAUF RESSORTS-AMORTISSEURS DE LA SECTION 17)")</f>
        <v xml:space="preserve">   RESSORTS EN HÉLICE EN FER OU EN ACIER (À L'EXCL. DES RESSORTS SPIRAUX PLATS, RESSORTS DE MONTRES, RESSORTS POUR CANNES ET MANCHES DE PARAPLUIES ET DE PARASOLS ET SAUF RESSORTS-AMORTISSEURS DE LA SECTION 17)</v>
      </c>
      <c r="C11081">
        <v>2652367</v>
      </c>
      <c r="D11081">
        <v>384</v>
      </c>
    </row>
    <row r="11082" spans="1:4" x14ac:dyDescent="0.25">
      <c r="A11082" t="str">
        <f>T("   732090")</f>
        <v xml:space="preserve">   732090</v>
      </c>
      <c r="B11082" t="s">
        <v>360</v>
      </c>
      <c r="C11082">
        <v>3364419</v>
      </c>
      <c r="D11082">
        <v>232</v>
      </c>
    </row>
    <row r="11083" spans="1:4" x14ac:dyDescent="0.25">
      <c r="A11083" t="str">
        <f>T("   732394")</f>
        <v xml:space="preserve">   732394</v>
      </c>
      <c r="B11083" t="s">
        <v>367</v>
      </c>
      <c r="C11083">
        <v>2839057</v>
      </c>
      <c r="D11083">
        <v>2870</v>
      </c>
    </row>
    <row r="11084" spans="1:4" x14ac:dyDescent="0.25">
      <c r="A11084" t="str">
        <f>T("   732399")</f>
        <v xml:space="preserve">   732399</v>
      </c>
      <c r="B11084" t="s">
        <v>368</v>
      </c>
      <c r="C11084">
        <v>10131968</v>
      </c>
      <c r="D11084">
        <v>16583</v>
      </c>
    </row>
    <row r="11085" spans="1:4" x14ac:dyDescent="0.25">
      <c r="A11085" t="str">
        <f>T("   732690")</f>
        <v xml:space="preserve">   732690</v>
      </c>
      <c r="B11085"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11085">
        <v>94988</v>
      </c>
      <c r="D11085">
        <v>27</v>
      </c>
    </row>
    <row r="11086" spans="1:4" x14ac:dyDescent="0.25">
      <c r="A11086" t="str">
        <f>T("   761519")</f>
        <v xml:space="preserve">   761519</v>
      </c>
      <c r="B11086" t="s">
        <v>373</v>
      </c>
      <c r="C11086">
        <v>1</v>
      </c>
      <c r="D11086">
        <v>340</v>
      </c>
    </row>
    <row r="11087" spans="1:4" x14ac:dyDescent="0.25">
      <c r="A11087" t="str">
        <f>T("   761699")</f>
        <v xml:space="preserve">   761699</v>
      </c>
      <c r="B11087" t="str">
        <f>T("   Ouvrages en aluminium, n.d.a.")</f>
        <v xml:space="preserve">   Ouvrages en aluminium, n.d.a.</v>
      </c>
      <c r="C11087">
        <v>9502089</v>
      </c>
      <c r="D11087">
        <v>3111</v>
      </c>
    </row>
    <row r="11088" spans="1:4" x14ac:dyDescent="0.25">
      <c r="A11088" t="str">
        <f>T("   820713")</f>
        <v xml:space="preserve">   820713</v>
      </c>
      <c r="B11088" t="str">
        <f>T("   Outils de forage ou de sondage, interchangeables, avec partie travaillante en carbures métalliques frittés ou en cermets")</f>
        <v xml:space="preserve">   Outils de forage ou de sondage, interchangeables, avec partie travaillante en carbures métalliques frittés ou en cermets</v>
      </c>
      <c r="C11088">
        <v>4326805</v>
      </c>
      <c r="D11088">
        <v>409</v>
      </c>
    </row>
    <row r="11089" spans="1:4" x14ac:dyDescent="0.25">
      <c r="A11089" t="str">
        <f>T("   821490")</f>
        <v xml:space="preserve">   821490</v>
      </c>
      <c r="B11089" t="str">
        <f>T("   Tondeuses de coiffeur et autres articles à couper, n.d.a., en métaux communs")</f>
        <v xml:space="preserve">   Tondeuses de coiffeur et autres articles à couper, n.d.a., en métaux communs</v>
      </c>
      <c r="C11089">
        <v>292404</v>
      </c>
      <c r="D11089">
        <v>835</v>
      </c>
    </row>
    <row r="11090" spans="1:4" x14ac:dyDescent="0.25">
      <c r="A11090" t="str">
        <f>T("   830170")</f>
        <v xml:space="preserve">   830170</v>
      </c>
      <c r="B11090" t="str">
        <f>T("   Clefs présentées isolément, pour cadenas, serrures et verrous, ainsi que pour fermoirs et montures-fermoirs avec serrure, en métaux communs")</f>
        <v xml:space="preserve">   Clefs présentées isolément, pour cadenas, serrures et verrous, ainsi que pour fermoirs et montures-fermoirs avec serrure, en métaux communs</v>
      </c>
      <c r="C11090">
        <v>26894</v>
      </c>
      <c r="D11090">
        <v>2</v>
      </c>
    </row>
    <row r="11091" spans="1:4" x14ac:dyDescent="0.25">
      <c r="A11091" t="str">
        <f>T("   830790")</f>
        <v xml:space="preserve">   830790</v>
      </c>
      <c r="B11091" t="str">
        <f>T("   Tuyaux flexibles en métaux communs autres que le fer ou l'acier, même avec accessoires")</f>
        <v xml:space="preserve">   Tuyaux flexibles en métaux communs autres que le fer ou l'acier, même avec accessoires</v>
      </c>
      <c r="C11091">
        <v>46573</v>
      </c>
      <c r="D11091">
        <v>1</v>
      </c>
    </row>
    <row r="11092" spans="1:4" x14ac:dyDescent="0.25">
      <c r="A11092" t="str">
        <f>T("   840790")</f>
        <v xml:space="preserve">   840790</v>
      </c>
      <c r="B11092" t="s">
        <v>391</v>
      </c>
      <c r="C11092">
        <v>1585000</v>
      </c>
      <c r="D11092">
        <v>3100</v>
      </c>
    </row>
    <row r="11093" spans="1:4" x14ac:dyDescent="0.25">
      <c r="A11093" t="str">
        <f>T("   840820")</f>
        <v xml:space="preserve">   840820</v>
      </c>
      <c r="B11093" t="s">
        <v>392</v>
      </c>
      <c r="C11093">
        <v>3510591</v>
      </c>
      <c r="D11093">
        <v>7700</v>
      </c>
    </row>
    <row r="11094" spans="1:4" x14ac:dyDescent="0.25">
      <c r="A11094" t="str">
        <f>T("   840890")</f>
        <v xml:space="preserve">   840890</v>
      </c>
      <c r="B11094" t="s">
        <v>393</v>
      </c>
      <c r="C11094">
        <v>200009</v>
      </c>
      <c r="D11094">
        <v>726</v>
      </c>
    </row>
    <row r="11095" spans="1:4" x14ac:dyDescent="0.25">
      <c r="A11095" t="str">
        <f>T("   840991")</f>
        <v xml:space="preserve">   840991</v>
      </c>
      <c r="B11095" t="str">
        <f>T("   Parties reconnaissables comme étant exclusivement ou principalement destinées aux moteurs à piston à allumage par étincelles, n.d.a.")</f>
        <v xml:space="preserve">   Parties reconnaissables comme étant exclusivement ou principalement destinées aux moteurs à piston à allumage par étincelles, n.d.a.</v>
      </c>
      <c r="C11095">
        <v>839583</v>
      </c>
      <c r="D11095">
        <v>132</v>
      </c>
    </row>
    <row r="11096" spans="1:4" x14ac:dyDescent="0.25">
      <c r="A11096" t="str">
        <f>T("   840999")</f>
        <v xml:space="preserve">   840999</v>
      </c>
      <c r="B11096"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11096">
        <v>2227681</v>
      </c>
      <c r="D11096">
        <v>85</v>
      </c>
    </row>
    <row r="11097" spans="1:4" x14ac:dyDescent="0.25">
      <c r="A11097" t="str">
        <f>T("   841330")</f>
        <v xml:space="preserve">   841330</v>
      </c>
      <c r="B11097" t="str">
        <f>T("   Pompes à carburant, à huile ou à liquide de refroidissement pour moteurs à allumage par étincelles ou par compression")</f>
        <v xml:space="preserve">   Pompes à carburant, à huile ou à liquide de refroidissement pour moteurs à allumage par étincelles ou par compression</v>
      </c>
      <c r="C11097">
        <v>3775580</v>
      </c>
      <c r="D11097">
        <v>170</v>
      </c>
    </row>
    <row r="11098" spans="1:4" x14ac:dyDescent="0.25">
      <c r="A11098" t="str">
        <f>T("   841370")</f>
        <v xml:space="preserve">   841370</v>
      </c>
      <c r="B11098" t="s">
        <v>396</v>
      </c>
      <c r="C11098">
        <v>15143</v>
      </c>
      <c r="D11098">
        <v>7</v>
      </c>
    </row>
    <row r="11099" spans="1:4" x14ac:dyDescent="0.25">
      <c r="A11099" t="str">
        <f>T("   841381")</f>
        <v xml:space="preserve">   841381</v>
      </c>
      <c r="B11099" t="s">
        <v>397</v>
      </c>
      <c r="C11099">
        <v>350939</v>
      </c>
      <c r="D11099">
        <v>18</v>
      </c>
    </row>
    <row r="11100" spans="1:4" x14ac:dyDescent="0.25">
      <c r="A11100" t="str">
        <f>T("   841391")</f>
        <v xml:space="preserve">   841391</v>
      </c>
      <c r="B11100" t="str">
        <f>T("   Parties de pompes pour liquides, n.d.a.")</f>
        <v xml:space="preserve">   Parties de pompes pour liquides, n.d.a.</v>
      </c>
      <c r="C11100">
        <v>6553716</v>
      </c>
      <c r="D11100">
        <v>203</v>
      </c>
    </row>
    <row r="11101" spans="1:4" x14ac:dyDescent="0.25">
      <c r="A11101" t="str">
        <f>T("   841440")</f>
        <v xml:space="preserve">   841440</v>
      </c>
      <c r="B11101" t="str">
        <f>T("   Compresseurs d'air montés sur châssis à roues et remorquables")</f>
        <v xml:space="preserve">   Compresseurs d'air montés sur châssis à roues et remorquables</v>
      </c>
      <c r="C11101">
        <v>42097940</v>
      </c>
      <c r="D11101">
        <v>4944</v>
      </c>
    </row>
    <row r="11102" spans="1:4" x14ac:dyDescent="0.25">
      <c r="A11102" t="str">
        <f>T("   841459")</f>
        <v xml:space="preserve">   841459</v>
      </c>
      <c r="B11102" t="str">
        <f>T("   Ventilateurs (sauf ventilateurs de table, de sol, muraux, plafonniers, de toitures ou de fenêtres, à moteur électrique incorporé, d'une puissance &lt;= 125 W)")</f>
        <v xml:space="preserve">   Ventilateurs (sauf ventilateurs de table, de sol, muraux, plafonniers, de toitures ou de fenêtres, à moteur électrique incorporé, d'une puissance &lt;= 125 W)</v>
      </c>
      <c r="C11102">
        <v>765734</v>
      </c>
      <c r="D11102">
        <v>272</v>
      </c>
    </row>
    <row r="11103" spans="1:4" x14ac:dyDescent="0.25">
      <c r="A11103" t="str">
        <f>T("   841480")</f>
        <v xml:space="preserve">   841480</v>
      </c>
      <c r="B11103" t="s">
        <v>398</v>
      </c>
      <c r="C11103">
        <v>577901</v>
      </c>
      <c r="D11103">
        <v>15</v>
      </c>
    </row>
    <row r="11104" spans="1:4" x14ac:dyDescent="0.25">
      <c r="A11104" t="str">
        <f>T("   841490")</f>
        <v xml:space="preserve">   841490</v>
      </c>
      <c r="B11104" t="str">
        <f>T("   Parties de pompes à air ou à vide, de compresseurs d'air ou d'autres gaz et de ventilateurs, de hottes aspirantes à extraction ou à recyclage, à ventilateur incorporé, n.d.a.")</f>
        <v xml:space="preserve">   Parties de pompes à air ou à vide, de compresseurs d'air ou d'autres gaz et de ventilateurs, de hottes aspirantes à extraction ou à recyclage, à ventilateur incorporé, n.d.a.</v>
      </c>
      <c r="C11104">
        <v>1342094</v>
      </c>
      <c r="D11104">
        <v>4</v>
      </c>
    </row>
    <row r="11105" spans="1:4" x14ac:dyDescent="0.25">
      <c r="A11105" t="str">
        <f>T("   841630")</f>
        <v xml:space="preserve">   841630</v>
      </c>
      <c r="B11105" t="str">
        <f>T("   FOYERS AUTOMATIQUES, Y.C. LEURS AVANT-FOYERS, GRILLES MÉCANIQUES, DISPOSITIFS MÉCANIQUES POUR L'ÉVACUATION DES CENDRES ET DISPOSITIFS SIMIL. (SAUF BR¹LEURS)")</f>
        <v xml:space="preserve">   FOYERS AUTOMATIQUES, Y.C. LEURS AVANT-FOYERS, GRILLES MÉCANIQUES, DISPOSITIFS MÉCANIQUES POUR L'ÉVACUATION DES CENDRES ET DISPOSITIFS SIMIL. (SAUF BR¹LEURS)</v>
      </c>
      <c r="C11105">
        <v>231454</v>
      </c>
      <c r="D11105">
        <v>975</v>
      </c>
    </row>
    <row r="11106" spans="1:4" x14ac:dyDescent="0.25">
      <c r="A11106" t="str">
        <f>T("   841829")</f>
        <v xml:space="preserve">   841829</v>
      </c>
      <c r="B11106" t="str">
        <f>T("   Réfrigérateurs ménagers à absorption, non-électriques")</f>
        <v xml:space="preserve">   Réfrigérateurs ménagers à absorption, non-électriques</v>
      </c>
      <c r="C11106">
        <v>13418380</v>
      </c>
      <c r="D11106">
        <v>31654</v>
      </c>
    </row>
    <row r="11107" spans="1:4" x14ac:dyDescent="0.25">
      <c r="A11107" t="str">
        <f>T("   841840")</f>
        <v xml:space="preserve">   841840</v>
      </c>
      <c r="B11107" t="str">
        <f>T("   Meubles congélateurs-conservateurs du type armoire, capacité &lt;= 900 l")</f>
        <v xml:space="preserve">   Meubles congélateurs-conservateurs du type armoire, capacité &lt;= 900 l</v>
      </c>
      <c r="C11107">
        <v>15823789</v>
      </c>
      <c r="D11107">
        <v>19051</v>
      </c>
    </row>
    <row r="11108" spans="1:4" x14ac:dyDescent="0.25">
      <c r="A11108" t="str">
        <f>T("   841850")</f>
        <v xml:space="preserve">   841850</v>
      </c>
      <c r="B11108" t="s">
        <v>404</v>
      </c>
      <c r="C11108">
        <v>400004</v>
      </c>
      <c r="D11108">
        <v>5000</v>
      </c>
    </row>
    <row r="11109" spans="1:4" x14ac:dyDescent="0.25">
      <c r="A11109" t="str">
        <f>T("   841861")</f>
        <v xml:space="preserve">   841861</v>
      </c>
      <c r="B11109" t="str">
        <f>T("   Groupes à compression pour la production du froid, dont le condenseur est constitué par un échangeur de chaleur")</f>
        <v xml:space="preserve">   Groupes à compression pour la production du froid, dont le condenseur est constitué par un échangeur de chaleur</v>
      </c>
      <c r="C11109">
        <v>15503411</v>
      </c>
      <c r="D11109">
        <v>5099</v>
      </c>
    </row>
    <row r="11110" spans="1:4" x14ac:dyDescent="0.25">
      <c r="A11110" t="str">
        <f>T("   842091")</f>
        <v xml:space="preserve">   842091</v>
      </c>
      <c r="B11110" t="str">
        <f>T("   Cylindres de calandres et laminoirs (autres que pour les métaux ou le verre)")</f>
        <v xml:space="preserve">   Cylindres de calandres et laminoirs (autres que pour les métaux ou le verre)</v>
      </c>
      <c r="C11110">
        <v>235375</v>
      </c>
      <c r="D11110">
        <v>9</v>
      </c>
    </row>
    <row r="11111" spans="1:4" x14ac:dyDescent="0.25">
      <c r="A11111" t="str">
        <f>T("   842121")</f>
        <v xml:space="preserve">   842121</v>
      </c>
      <c r="B11111" t="str">
        <f>T("   Appareils pour la filtration ou l'épuration des eaux")</f>
        <v xml:space="preserve">   Appareils pour la filtration ou l'épuration des eaux</v>
      </c>
      <c r="C11111">
        <v>1187288</v>
      </c>
      <c r="D11111">
        <v>45</v>
      </c>
    </row>
    <row r="11112" spans="1:4" x14ac:dyDescent="0.25">
      <c r="A11112" t="str">
        <f>T("   842123")</f>
        <v xml:space="preserve">   842123</v>
      </c>
      <c r="B11112" t="str">
        <f>T("   Appareils pour la filtration des huiles minérales et carburants pour les moteurs à allumage par étincelles ou par compression")</f>
        <v xml:space="preserve">   Appareils pour la filtration des huiles minérales et carburants pour les moteurs à allumage par étincelles ou par compression</v>
      </c>
      <c r="C11112">
        <v>31852938</v>
      </c>
      <c r="D11112">
        <v>3637</v>
      </c>
    </row>
    <row r="11113" spans="1:4" x14ac:dyDescent="0.25">
      <c r="A11113" t="str">
        <f>T("   842131")</f>
        <v xml:space="preserve">   842131</v>
      </c>
      <c r="B11113" t="str">
        <f>T("   Filtres d'entrée d'air pour moteurs à allumage par étincelles ou par compression")</f>
        <v xml:space="preserve">   Filtres d'entrée d'air pour moteurs à allumage par étincelles ou par compression</v>
      </c>
      <c r="C11113">
        <v>7283935</v>
      </c>
      <c r="D11113">
        <v>304</v>
      </c>
    </row>
    <row r="11114" spans="1:4" x14ac:dyDescent="0.25">
      <c r="A11114" t="str">
        <f>T("   842139")</f>
        <v xml:space="preserve">   842139</v>
      </c>
      <c r="B11114" t="str">
        <f>T("   Appareils pour la filtration ou l'épuration des gaz (autres que pour la séparation isotopique et sauf les filtres d'entrée d'air pour moteurs à allumage par étincelles ou par compression)")</f>
        <v xml:space="preserve">   Appareils pour la filtration ou l'épuration des gaz (autres que pour la séparation isotopique et sauf les filtres d'entrée d'air pour moteurs à allumage par étincelles ou par compression)</v>
      </c>
      <c r="C11114">
        <v>778410</v>
      </c>
      <c r="D11114">
        <v>41</v>
      </c>
    </row>
    <row r="11115" spans="1:4" x14ac:dyDescent="0.25">
      <c r="A11115" t="str">
        <f>T("   842199")</f>
        <v xml:space="preserve">   842199</v>
      </c>
      <c r="B11115" t="str">
        <f>T("   Parties d'appareils pour la filtration ou l'épuration des liquides ou des gaz, n.d.a.")</f>
        <v xml:space="preserve">   Parties d'appareils pour la filtration ou l'épuration des liquides ou des gaz, n.d.a.</v>
      </c>
      <c r="C11115">
        <v>538543</v>
      </c>
      <c r="D11115">
        <v>31</v>
      </c>
    </row>
    <row r="11116" spans="1:4" x14ac:dyDescent="0.25">
      <c r="A11116" t="str">
        <f>T("   842320")</f>
        <v xml:space="preserve">   842320</v>
      </c>
      <c r="B11116" t="str">
        <f>T("   Bascules à pesage continu sur transporteurs")</f>
        <v xml:space="preserve">   Bascules à pesage continu sur transporteurs</v>
      </c>
      <c r="C11116">
        <v>10027249</v>
      </c>
      <c r="D11116">
        <v>10000</v>
      </c>
    </row>
    <row r="11117" spans="1:4" x14ac:dyDescent="0.25">
      <c r="A11117" t="str">
        <f>T("   842489")</f>
        <v xml:space="preserve">   842489</v>
      </c>
      <c r="B11117" t="str">
        <f>T("   Machines et appareils mécaniques, même à main, à projeter, disperser ou pulvériser des matières liquides ou en poudre, n.d.a.")</f>
        <v xml:space="preserve">   Machines et appareils mécaniques, même à main, à projeter, disperser ou pulvériser des matières liquides ou en poudre, n.d.a.</v>
      </c>
      <c r="C11117">
        <v>832241</v>
      </c>
      <c r="D11117">
        <v>26</v>
      </c>
    </row>
    <row r="11118" spans="1:4" x14ac:dyDescent="0.25">
      <c r="A11118" t="str">
        <f>T("   842649")</f>
        <v xml:space="preserve">   842649</v>
      </c>
      <c r="B11118" t="str">
        <f>T("   Bigues et chariots-grues et appareils autopropulsés (autres que sur pneumatiques et sauf chariots-cavaliers)")</f>
        <v xml:space="preserve">   Bigues et chariots-grues et appareils autopropulsés (autres que sur pneumatiques et sauf chariots-cavaliers)</v>
      </c>
      <c r="C11118">
        <v>240075411</v>
      </c>
      <c r="D11118">
        <v>45359</v>
      </c>
    </row>
    <row r="11119" spans="1:4" x14ac:dyDescent="0.25">
      <c r="A11119" t="str">
        <f>T("   842699")</f>
        <v xml:space="preserve">   842699</v>
      </c>
      <c r="B11119" t="s">
        <v>411</v>
      </c>
      <c r="C11119">
        <v>16959935</v>
      </c>
      <c r="D11119">
        <v>32055</v>
      </c>
    </row>
    <row r="11120" spans="1:4" x14ac:dyDescent="0.25">
      <c r="A11120" t="str">
        <f>T("   842790")</f>
        <v xml:space="preserve">   842790</v>
      </c>
      <c r="B11120" t="str">
        <f>T("   Chariots de manutention munis d'un dispositif de levage mais non autopropulsés")</f>
        <v xml:space="preserve">   Chariots de manutention munis d'un dispositif de levage mais non autopropulsés</v>
      </c>
      <c r="C11120">
        <v>6991320</v>
      </c>
      <c r="D11120">
        <v>10000</v>
      </c>
    </row>
    <row r="11121" spans="1:4" x14ac:dyDescent="0.25">
      <c r="A11121" t="str">
        <f>T("   842839")</f>
        <v xml:space="preserve">   842839</v>
      </c>
      <c r="B11121" t="str">
        <f>T("   Appareils élévateurs, transporteurs ou convoyeurs pour marchandises, à action continue (autres que conçus pour mines au fond ou pour autres travaux souterrains, autres qu'à benne, à bande ou à courroie et autres que pneumatiques)")</f>
        <v xml:space="preserve">   Appareils élévateurs, transporteurs ou convoyeurs pour marchandises, à action continue (autres que conçus pour mines au fond ou pour autres travaux souterrains, autres qu'à benne, à bande ou à courroie et autres que pneumatiques)</v>
      </c>
      <c r="C11121">
        <v>528704</v>
      </c>
      <c r="D11121">
        <v>1500</v>
      </c>
    </row>
    <row r="11122" spans="1:4" x14ac:dyDescent="0.25">
      <c r="A11122" t="str">
        <f>T("   842911")</f>
        <v xml:space="preserve">   842911</v>
      </c>
      <c r="B11122" t="str">
        <f>T("   Bouteurs 'bulldozers' et bouteurs biais 'angledozers', à chenilles")</f>
        <v xml:space="preserve">   Bouteurs 'bulldozers' et bouteurs biais 'angledozers', à chenilles</v>
      </c>
      <c r="C11122">
        <v>224810223</v>
      </c>
      <c r="D11122">
        <v>58893</v>
      </c>
    </row>
    <row r="11123" spans="1:4" x14ac:dyDescent="0.25">
      <c r="A11123" t="str">
        <f>T("   842919")</f>
        <v xml:space="preserve">   842919</v>
      </c>
      <c r="B11123" t="str">
        <f>T("   Bouteurs 'bulldozers' et bouteurs biais 'angledozers', sur roues")</f>
        <v xml:space="preserve">   Bouteurs 'bulldozers' et bouteurs biais 'angledozers', sur roues</v>
      </c>
      <c r="C11123">
        <v>17500589</v>
      </c>
      <c r="D11123">
        <v>40370</v>
      </c>
    </row>
    <row r="11124" spans="1:4" x14ac:dyDescent="0.25">
      <c r="A11124" t="str">
        <f>T("   842920")</f>
        <v xml:space="preserve">   842920</v>
      </c>
      <c r="B11124" t="str">
        <f>T("   Niveleuses autopropulsées")</f>
        <v xml:space="preserve">   Niveleuses autopropulsées</v>
      </c>
      <c r="C11124">
        <v>225037615</v>
      </c>
      <c r="D11124">
        <v>94178</v>
      </c>
    </row>
    <row r="11125" spans="1:4" x14ac:dyDescent="0.25">
      <c r="A11125" t="str">
        <f>T("   842940")</f>
        <v xml:space="preserve">   842940</v>
      </c>
      <c r="B11125" t="str">
        <f>T("   Rouleaux compresseurs et autres compacteuses, autopropulsés")</f>
        <v xml:space="preserve">   Rouleaux compresseurs et autres compacteuses, autopropulsés</v>
      </c>
      <c r="C11125">
        <v>356105478</v>
      </c>
      <c r="D11125">
        <v>118338</v>
      </c>
    </row>
    <row r="11126" spans="1:4" x14ac:dyDescent="0.25">
      <c r="A11126" t="str">
        <f>T("   842951")</f>
        <v xml:space="preserve">   842951</v>
      </c>
      <c r="B11126" t="str">
        <f>T("   Chargeuses et chargeuses-pelleteuses, à chargement frontal, autopropulsées")</f>
        <v xml:space="preserve">   Chargeuses et chargeuses-pelleteuses, à chargement frontal, autopropulsées</v>
      </c>
      <c r="C11126">
        <v>74985991</v>
      </c>
      <c r="D11126">
        <v>43773</v>
      </c>
    </row>
    <row r="11127" spans="1:4" x14ac:dyDescent="0.25">
      <c r="A11127" t="str">
        <f>T("   842959")</f>
        <v xml:space="preserve">   842959</v>
      </c>
      <c r="B11127"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11127">
        <v>277325404</v>
      </c>
      <c r="D11127">
        <v>512618</v>
      </c>
    </row>
    <row r="11128" spans="1:4" x14ac:dyDescent="0.25">
      <c r="A11128" t="str">
        <f>T("   843049")</f>
        <v xml:space="preserve">   843049</v>
      </c>
      <c r="B11128" t="str">
        <f>T("   Machines de sondage ou de forage de la terre, des minéraux ou des minerais non autopropulsées et non hydrauliques (à l'excl. des machines à creuser les tunnels et autres machines à creuser les galeries, et sauf outillage pour emploi à la main)")</f>
        <v xml:space="preserve">   Machines de sondage ou de forage de la terre, des minéraux ou des minerais non autopropulsées et non hydrauliques (à l'excl. des machines à creuser les tunnels et autres machines à creuser les galeries, et sauf outillage pour emploi à la main)</v>
      </c>
      <c r="C11128">
        <v>130665599</v>
      </c>
      <c r="D11128">
        <v>12247</v>
      </c>
    </row>
    <row r="11129" spans="1:4" x14ac:dyDescent="0.25">
      <c r="A11129" t="str">
        <f>T("   843069")</f>
        <v xml:space="preserve">   843069</v>
      </c>
      <c r="B11129" t="str">
        <f>T("   Machines et appareils de terrassement, nivellement, décapage, excavation, compactage, extraction ou forage de la terre, des minéraux ou des minerais, non autopropulsés, n.d.a.")</f>
        <v xml:space="preserve">   Machines et appareils de terrassement, nivellement, décapage, excavation, compactage, extraction ou forage de la terre, des minéraux ou des minerais, non autopropulsés, n.d.a.</v>
      </c>
      <c r="C11129">
        <v>1206380</v>
      </c>
      <c r="D11129">
        <v>60</v>
      </c>
    </row>
    <row r="11130" spans="1:4" x14ac:dyDescent="0.25">
      <c r="A11130" t="str">
        <f>T("   843110")</f>
        <v xml:space="preserve">   843110</v>
      </c>
      <c r="B11130" t="str">
        <f>T("   Parties de palans; treuils, cabestans; crics et vérins, n.d.a.")</f>
        <v xml:space="preserve">   Parties de palans; treuils, cabestans; crics et vérins, n.d.a.</v>
      </c>
      <c r="C11130">
        <v>12899006</v>
      </c>
      <c r="D11130">
        <v>5121</v>
      </c>
    </row>
    <row r="11131" spans="1:4" x14ac:dyDescent="0.25">
      <c r="A11131" t="str">
        <f>T("   843120")</f>
        <v xml:space="preserve">   843120</v>
      </c>
      <c r="B11131" t="str">
        <f>T("   Parties de chariots-gerbeurs et autres chariots de manutention munis d'un dispositif de levage, n.d.a.")</f>
        <v xml:space="preserve">   Parties de chariots-gerbeurs et autres chariots de manutention munis d'un dispositif de levage, n.d.a.</v>
      </c>
      <c r="C11131">
        <v>4880998</v>
      </c>
      <c r="D11131">
        <v>129</v>
      </c>
    </row>
    <row r="11132" spans="1:4" x14ac:dyDescent="0.25">
      <c r="A11132" t="str">
        <f>T("   843139")</f>
        <v xml:space="preserve">   843139</v>
      </c>
      <c r="B11132" t="str">
        <f>T("   Parties de machines et appareils du n° 8428, n.d.a.")</f>
        <v xml:space="preserve">   Parties de machines et appareils du n° 8428, n.d.a.</v>
      </c>
      <c r="C11132">
        <v>5095824</v>
      </c>
      <c r="D11132">
        <v>166</v>
      </c>
    </row>
    <row r="11133" spans="1:4" x14ac:dyDescent="0.25">
      <c r="A11133" t="str">
        <f>T("   843142")</f>
        <v xml:space="preserve">   843142</v>
      </c>
      <c r="B11133" t="str">
        <f>T("   Lames de bouteurs 'bulldozers' ou de bouteurs biais 'angledozers', n.d.a.")</f>
        <v xml:space="preserve">   Lames de bouteurs 'bulldozers' ou de bouteurs biais 'angledozers', n.d.a.</v>
      </c>
      <c r="C11133">
        <v>829789</v>
      </c>
      <c r="D11133">
        <v>775</v>
      </c>
    </row>
    <row r="11134" spans="1:4" x14ac:dyDescent="0.25">
      <c r="A11134" t="str">
        <f>T("   843149")</f>
        <v xml:space="preserve">   843149</v>
      </c>
      <c r="B11134" t="str">
        <f>T("   Parties de machines et appareils du n° 8426, 8429 ou 8430, n.d.a.")</f>
        <v xml:space="preserve">   Parties de machines et appareils du n° 8426, 8429 ou 8430, n.d.a.</v>
      </c>
      <c r="C11134">
        <v>130606691</v>
      </c>
      <c r="D11134">
        <v>23341.75</v>
      </c>
    </row>
    <row r="11135" spans="1:4" x14ac:dyDescent="0.25">
      <c r="A11135" t="str">
        <f>T("   843790")</f>
        <v xml:space="preserve">   843790</v>
      </c>
      <c r="B11135" t="str">
        <f>T("   Parties de machines et appareils de minoterie ou pour le traitement des céréales ou légumes secs ou pour le nettoyage, le triage ou le criblage des grains ou des légumes secs, n.d.a.")</f>
        <v xml:space="preserve">   Parties de machines et appareils de minoterie ou pour le traitement des céréales ou légumes secs ou pour le nettoyage, le triage ou le criblage des grains ou des légumes secs, n.d.a.</v>
      </c>
      <c r="C11135">
        <v>38634483</v>
      </c>
      <c r="D11135">
        <v>997</v>
      </c>
    </row>
    <row r="11136" spans="1:4" x14ac:dyDescent="0.25">
      <c r="A11136" t="str">
        <f>T("   843880")</f>
        <v xml:space="preserve">   843880</v>
      </c>
      <c r="B11136" t="str">
        <f>T("   Machines et appareils pour la préparation ou la fabrication industrielles d'aliments ou de boissons, n.d.a.")</f>
        <v xml:space="preserve">   Machines et appareils pour la préparation ou la fabrication industrielles d'aliments ou de boissons, n.d.a.</v>
      </c>
      <c r="C11136">
        <v>23356966</v>
      </c>
      <c r="D11136">
        <v>7680</v>
      </c>
    </row>
    <row r="11137" spans="1:4" x14ac:dyDescent="0.25">
      <c r="A11137" t="str">
        <f>T("   844359")</f>
        <v xml:space="preserve">   844359</v>
      </c>
      <c r="B11137" t="s">
        <v>424</v>
      </c>
      <c r="C11137">
        <v>1939725</v>
      </c>
      <c r="D11137">
        <v>76</v>
      </c>
    </row>
    <row r="11138" spans="1:4" x14ac:dyDescent="0.25">
      <c r="A11138" t="str">
        <f>T("   844390")</f>
        <v xml:space="preserve">   844390</v>
      </c>
      <c r="B11138" t="str">
        <f>T("   Parties de machines et appareils à imprimer et de leur machines et appareils auxiliaires, n.d.a.")</f>
        <v xml:space="preserve">   Parties de machines et appareils à imprimer et de leur machines et appareils auxiliaires, n.d.a.</v>
      </c>
      <c r="C11138">
        <v>1081744</v>
      </c>
      <c r="D11138">
        <v>380</v>
      </c>
    </row>
    <row r="11139" spans="1:4" x14ac:dyDescent="0.25">
      <c r="A11139" t="str">
        <f>T("   844519")</f>
        <v xml:space="preserve">   844519</v>
      </c>
      <c r="B11139" t="str">
        <f>T("   MACHINES POUR LA PRÉPARATION DES MATIÈRES TEXTILES (AUTRES QUE CARDÉS, PEIGNEUSES ET BANCS À BROCHES)")</f>
        <v xml:space="preserve">   MACHINES POUR LA PRÉPARATION DES MATIÈRES TEXTILES (AUTRES QUE CARDÉS, PEIGNEUSES ET BANCS À BROCHES)</v>
      </c>
      <c r="C11139">
        <v>9290645</v>
      </c>
      <c r="D11139">
        <v>276</v>
      </c>
    </row>
    <row r="11140" spans="1:4" x14ac:dyDescent="0.25">
      <c r="A11140" t="str">
        <f>T("   844790")</f>
        <v xml:space="preserve">   844790</v>
      </c>
      <c r="B11140" t="str">
        <f>T("   Machines et métiers à guipure, à tulle, à dentelle, à broderie, à passementerie, à tresses, à filet ou à touffeter (sauf couso-brodeurs)")</f>
        <v xml:space="preserve">   Machines et métiers à guipure, à tulle, à dentelle, à broderie, à passementerie, à tresses, à filet ou à touffeter (sauf couso-brodeurs)</v>
      </c>
      <c r="C11140">
        <v>475000</v>
      </c>
      <c r="D11140">
        <v>80</v>
      </c>
    </row>
    <row r="11141" spans="1:4" x14ac:dyDescent="0.25">
      <c r="A11141" t="str">
        <f>T("   844820")</f>
        <v xml:space="preserve">   844820</v>
      </c>
      <c r="B11141" t="str">
        <f>T("   Parties et accessoires des machines pour le filage -extrusion-, l'étirage, la texturation ou le tranchage des matières textiles synthétiques ou artificielles ou de leurs machines et appareils auxiliaires, n.d.a.")</f>
        <v xml:space="preserve">   Parties et accessoires des machines pour le filage -extrusion-, l'étirage, la texturation ou le tranchage des matières textiles synthétiques ou artificielles ou de leurs machines et appareils auxiliaires, n.d.a.</v>
      </c>
      <c r="C11141">
        <v>423397</v>
      </c>
      <c r="D11141">
        <v>13</v>
      </c>
    </row>
    <row r="11142" spans="1:4" x14ac:dyDescent="0.25">
      <c r="A11142" t="str">
        <f>T("   844832")</f>
        <v xml:space="preserve">   844832</v>
      </c>
      <c r="B11142" t="str">
        <f>T("   PARTIES ET ACCESSOIRES DE MACHINES POUR LA PRÉPARATION DES MATIÈRES TEXTILES, N.D.A. (AUTRES QUE LES GARNITURES DE CARDÉS)")</f>
        <v xml:space="preserve">   PARTIES ET ACCESSOIRES DE MACHINES POUR LA PRÉPARATION DES MATIÈRES TEXTILES, N.D.A. (AUTRES QUE LES GARNITURES DE CARDÉS)</v>
      </c>
      <c r="C11142">
        <v>95084723</v>
      </c>
      <c r="D11142">
        <v>3423</v>
      </c>
    </row>
    <row r="11143" spans="1:4" x14ac:dyDescent="0.25">
      <c r="A11143" t="str">
        <f>T("   844839")</f>
        <v xml:space="preserve">   844839</v>
      </c>
      <c r="B11143" t="str">
        <f>T("   Parties et accessoires des machines du n° 8445, n.d.a.")</f>
        <v xml:space="preserve">   Parties et accessoires des machines du n° 8445, n.d.a.</v>
      </c>
      <c r="C11143">
        <v>655265</v>
      </c>
      <c r="D11143">
        <v>20</v>
      </c>
    </row>
    <row r="11144" spans="1:4" x14ac:dyDescent="0.25">
      <c r="A11144" t="str">
        <f>T("   844900")</f>
        <v xml:space="preserve">   844900</v>
      </c>
      <c r="B11144" t="s">
        <v>425</v>
      </c>
      <c r="C11144">
        <v>2898150</v>
      </c>
      <c r="D11144">
        <v>280</v>
      </c>
    </row>
    <row r="11145" spans="1:4" x14ac:dyDescent="0.25">
      <c r="A11145" t="str">
        <f>T("   845019")</f>
        <v xml:space="preserve">   845019</v>
      </c>
      <c r="B11145" t="str">
        <f>T("   Machines à laver le linge d'une capacité unitaire exprimée en poids de linge sec &lt;= 6 kg (à l'excl. des machines entièrement automatiques et des machines à laver le linge avec essoreuse centrifuge incorporée)")</f>
        <v xml:space="preserve">   Machines à laver le linge d'une capacité unitaire exprimée en poids de linge sec &lt;= 6 kg (à l'excl. des machines entièrement automatiques et des machines à laver le linge avec essoreuse centrifuge incorporée)</v>
      </c>
      <c r="C11145">
        <v>149998</v>
      </c>
      <c r="D11145">
        <v>223</v>
      </c>
    </row>
    <row r="11146" spans="1:4" x14ac:dyDescent="0.25">
      <c r="A11146" t="str">
        <f>T("   845210")</f>
        <v xml:space="preserve">   845210</v>
      </c>
      <c r="B11146" t="str">
        <f>T("   Machines à coudre de type ménager")</f>
        <v xml:space="preserve">   Machines à coudre de type ménager</v>
      </c>
      <c r="C11146">
        <v>660470</v>
      </c>
      <c r="D11146">
        <v>4434</v>
      </c>
    </row>
    <row r="11147" spans="1:4" x14ac:dyDescent="0.25">
      <c r="A11147" t="str">
        <f>T("   845229")</f>
        <v xml:space="preserve">   845229</v>
      </c>
      <c r="B11147" t="str">
        <f>T("   Machines à coudre de type industriel (sauf unités automatiques)")</f>
        <v xml:space="preserve">   Machines à coudre de type industriel (sauf unités automatiques)</v>
      </c>
      <c r="C11147">
        <v>1425803</v>
      </c>
      <c r="D11147">
        <v>2245</v>
      </c>
    </row>
    <row r="11148" spans="1:4" x14ac:dyDescent="0.25">
      <c r="A11148" t="str">
        <f>T("   845290")</f>
        <v xml:space="preserve">   845290</v>
      </c>
      <c r="B11148" t="str">
        <f>T("   Parties de machines à coudre, n.d.a.")</f>
        <v xml:space="preserve">   Parties de machines à coudre, n.d.a.</v>
      </c>
      <c r="C11148">
        <v>405199</v>
      </c>
      <c r="D11148">
        <v>72</v>
      </c>
    </row>
    <row r="11149" spans="1:4" x14ac:dyDescent="0.25">
      <c r="A11149" t="str">
        <f>T("   846299")</f>
        <v xml:space="preserve">   846299</v>
      </c>
      <c r="B11149" t="str">
        <f>T("   Presses autres qu'hydrauliques pour le travail des métaux (à l'excl. des presses à forger, à rouler, à cintrer, dresser ou planer)")</f>
        <v xml:space="preserve">   Presses autres qu'hydrauliques pour le travail des métaux (à l'excl. des presses à forger, à rouler, à cintrer, dresser ou planer)</v>
      </c>
      <c r="C11149">
        <v>4849105</v>
      </c>
      <c r="D11149">
        <v>517</v>
      </c>
    </row>
    <row r="11150" spans="1:4" x14ac:dyDescent="0.25">
      <c r="A11150" t="str">
        <f>T("   846410")</f>
        <v xml:space="preserve">   846410</v>
      </c>
      <c r="B11150" t="str">
        <f>T("   Machines à scier pour le travail de la pierre, des produits céramiques, du béton, de l'amiante-ciment ou de matières minérales simil., ou pour le travail à froid du verre (à l'excl. des machines pour emploi à la main)")</f>
        <v xml:space="preserve">   Machines à scier pour le travail de la pierre, des produits céramiques, du béton, de l'amiante-ciment ou de matières minérales simil., ou pour le travail à froid du verre (à l'excl. des machines pour emploi à la main)</v>
      </c>
      <c r="C11150">
        <v>4879107</v>
      </c>
      <c r="D11150">
        <v>500</v>
      </c>
    </row>
    <row r="11151" spans="1:4" x14ac:dyDescent="0.25">
      <c r="A11151" t="str">
        <f>T("   846591")</f>
        <v xml:space="preserve">   846591</v>
      </c>
      <c r="B11151" t="str">
        <f>T("   Machines à scier, pour le travail du bois, des matières plastiques dures, etc. (autres que pour emploi à la main)")</f>
        <v xml:space="preserve">   Machines à scier, pour le travail du bois, des matières plastiques dures, etc. (autres que pour emploi à la main)</v>
      </c>
      <c r="C11151">
        <v>440000</v>
      </c>
      <c r="D11151">
        <v>3000</v>
      </c>
    </row>
    <row r="11152" spans="1:4" x14ac:dyDescent="0.25">
      <c r="A11152" t="str">
        <f>T("   846799")</f>
        <v xml:space="preserve">   846799</v>
      </c>
      <c r="B11152" t="str">
        <f>T("   Parties d'outils pour emploi à la main, hydrauliques ou à moteur électrique ou non électrique incorporé, n.d.a.")</f>
        <v xml:space="preserve">   Parties d'outils pour emploi à la main, hydrauliques ou à moteur électrique ou non électrique incorporé, n.d.a.</v>
      </c>
      <c r="C11152">
        <v>3891986</v>
      </c>
      <c r="D11152">
        <v>90</v>
      </c>
    </row>
    <row r="11153" spans="1:4" x14ac:dyDescent="0.25">
      <c r="A11153" t="str">
        <f>T("   847090")</f>
        <v xml:space="preserve">   847090</v>
      </c>
      <c r="B11153" t="str">
        <f>T("   Machines à affranchir, à établir les tickets et simil., avec dispositif de calcul (à l'excl. des machines comptables, des caisses enregistreuses et des distributeurs automatiques)")</f>
        <v xml:space="preserve">   Machines à affranchir, à établir les tickets et simil., avec dispositif de calcul (à l'excl. des machines comptables, des caisses enregistreuses et des distributeurs automatiques)</v>
      </c>
      <c r="C11153">
        <v>262384</v>
      </c>
      <c r="D11153">
        <v>1500</v>
      </c>
    </row>
    <row r="11154" spans="1:4" x14ac:dyDescent="0.25">
      <c r="A11154" t="str">
        <f>T("   847110")</f>
        <v xml:space="preserve">   847110</v>
      </c>
      <c r="B11154" t="str">
        <f>T("   Machines automatiques de traitement de l'information, analogiques ou hybrides")</f>
        <v xml:space="preserve">   Machines automatiques de traitement de l'information, analogiques ou hybrides</v>
      </c>
      <c r="C11154">
        <v>699774</v>
      </c>
      <c r="D11154">
        <v>1095</v>
      </c>
    </row>
    <row r="11155" spans="1:4" x14ac:dyDescent="0.25">
      <c r="A11155" t="str">
        <f>T("   847130")</f>
        <v xml:space="preserve">   847130</v>
      </c>
      <c r="B11155" t="str">
        <f>T("   Machines automatiques de traitement de l'information numériques, portatives, d'un poids &lt;= 10 kg, comportant au moins une unité centrale de traitement, un clavier et un écran (à l'excl. des unités périphériques)")</f>
        <v xml:space="preserve">   Machines automatiques de traitement de l'information numériques, portatives, d'un poids &lt;= 10 kg, comportant au moins une unité centrale de traitement, un clavier et un écran (à l'excl. des unités périphériques)</v>
      </c>
      <c r="C11155">
        <v>3999145</v>
      </c>
      <c r="D11155">
        <v>2219</v>
      </c>
    </row>
    <row r="11156" spans="1:4" x14ac:dyDescent="0.25">
      <c r="A11156" t="str">
        <f>T("   847149")</f>
        <v xml:space="preserve">   847149</v>
      </c>
      <c r="B11156" t="s">
        <v>437</v>
      </c>
      <c r="C11156">
        <v>5450826</v>
      </c>
      <c r="D11156">
        <v>5770</v>
      </c>
    </row>
    <row r="11157" spans="1:4" x14ac:dyDescent="0.25">
      <c r="A11157" t="str">
        <f>T("   847160")</f>
        <v xml:space="preserve">   847160</v>
      </c>
      <c r="B11157" t="str">
        <f>T("   UNITÉS D'ENTRÉE OU DE SORTIE POUR MACHINES AUTOMATIQUES DE TRAITEMENT DE L'INFORMATION, POUVANT COMPORTER, SOUS LA MÊME ENVELOPPE, DES UNITÉS DE MÉMOIRE")</f>
        <v xml:space="preserve">   UNITÉS D'ENTRÉE OU DE SORTIE POUR MACHINES AUTOMATIQUES DE TRAITEMENT DE L'INFORMATION, POUVANT COMPORTER, SOUS LA MÊME ENVELOPPE, DES UNITÉS DE MÉMOIRE</v>
      </c>
      <c r="C11157">
        <v>100000</v>
      </c>
      <c r="D11157">
        <v>150</v>
      </c>
    </row>
    <row r="11158" spans="1:4" x14ac:dyDescent="0.25">
      <c r="A11158" t="str">
        <f>T("   847170")</f>
        <v xml:space="preserve">   847170</v>
      </c>
      <c r="B11158" t="str">
        <f>T("   UNITÉS DE MÉMOIRE POUR MACHINES AUTOMATIQUES DE TRAITEMENT DE L'INFORMATION")</f>
        <v xml:space="preserve">   UNITÉS DE MÉMOIRE POUR MACHINES AUTOMATIQUES DE TRAITEMENT DE L'INFORMATION</v>
      </c>
      <c r="C11158">
        <v>2876579</v>
      </c>
      <c r="D11158">
        <v>15</v>
      </c>
    </row>
    <row r="11159" spans="1:4" x14ac:dyDescent="0.25">
      <c r="A11159" t="str">
        <f>T("   847180")</f>
        <v xml:space="preserve">   847180</v>
      </c>
      <c r="B11159"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11159">
        <v>16880623</v>
      </c>
      <c r="D11159">
        <v>9511.82</v>
      </c>
    </row>
    <row r="11160" spans="1:4" x14ac:dyDescent="0.25">
      <c r="A11160" t="str">
        <f>T("   847190")</f>
        <v xml:space="preserve">   847190</v>
      </c>
      <c r="B11160"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11160">
        <v>39590135</v>
      </c>
      <c r="D11160">
        <v>3905</v>
      </c>
    </row>
    <row r="11161" spans="1:4" x14ac:dyDescent="0.25">
      <c r="A11161" t="str">
        <f>T("   847290")</f>
        <v xml:space="preserve">   847290</v>
      </c>
      <c r="B11161" t="str">
        <f>T("   Machines et appareils de bureau, n.d.a.")</f>
        <v xml:space="preserve">   Machines et appareils de bureau, n.d.a.</v>
      </c>
      <c r="C11161">
        <v>782807</v>
      </c>
      <c r="D11161">
        <v>257</v>
      </c>
    </row>
    <row r="11162" spans="1:4" x14ac:dyDescent="0.25">
      <c r="A11162" t="str">
        <f>T("   847330")</f>
        <v xml:space="preserve">   847330</v>
      </c>
      <c r="B11162" t="str">
        <f>T("   Parties et accessoires pour machines automatiques de traitement de l'information ou pour autres machines du n° 8471, n.d.a.")</f>
        <v xml:space="preserve">   Parties et accessoires pour machines automatiques de traitement de l'information ou pour autres machines du n° 8471, n.d.a.</v>
      </c>
      <c r="C11162">
        <v>822416</v>
      </c>
      <c r="D11162">
        <v>3</v>
      </c>
    </row>
    <row r="11163" spans="1:4" x14ac:dyDescent="0.25">
      <c r="A11163" t="str">
        <f>T("   847420")</f>
        <v xml:space="preserve">   847420</v>
      </c>
      <c r="B11163" t="str">
        <f>T("   Machines et appareils à concasser, broyer ou pulvériser les matières minérales solides")</f>
        <v xml:space="preserve">   Machines et appareils à concasser, broyer ou pulvériser les matières minérales solides</v>
      </c>
      <c r="C11163">
        <v>4248000</v>
      </c>
      <c r="D11163">
        <v>453</v>
      </c>
    </row>
    <row r="11164" spans="1:4" x14ac:dyDescent="0.25">
      <c r="A11164" t="str">
        <f>T("   847431")</f>
        <v xml:space="preserve">   847431</v>
      </c>
      <c r="B11164" t="str">
        <f>T("   Bétonnières et appareils à gâcher le ciment (sauf montés sur wagons de chemins de fer ou sur châssis de véhicules automobiles)")</f>
        <v xml:space="preserve">   Bétonnières et appareils à gâcher le ciment (sauf montés sur wagons de chemins de fer ou sur châssis de véhicules automobiles)</v>
      </c>
      <c r="C11164">
        <v>8330692</v>
      </c>
      <c r="D11164">
        <v>1600</v>
      </c>
    </row>
    <row r="11165" spans="1:4" x14ac:dyDescent="0.25">
      <c r="A11165" t="str">
        <f>T("   847490")</f>
        <v xml:space="preserve">   847490</v>
      </c>
      <c r="B11165" t="str">
        <f>T("   Parties des machines et appareils pour le travail des matières minérales du n° 8474, n.d.a.")</f>
        <v xml:space="preserve">   Parties des machines et appareils pour le travail des matières minérales du n° 8474, n.d.a.</v>
      </c>
      <c r="C11165">
        <v>24666995</v>
      </c>
      <c r="D11165">
        <v>2590</v>
      </c>
    </row>
    <row r="11166" spans="1:4" x14ac:dyDescent="0.25">
      <c r="A11166" t="str">
        <f>T("   847689")</f>
        <v xml:space="preserve">   847689</v>
      </c>
      <c r="B11166" t="str">
        <f>T("   Machines automatiques de vente de produits, sans dispositif de chauffage ou de réfrigération et machines pour changer la monnaie (sauf machines automatiques de vente de boissons)")</f>
        <v xml:space="preserve">   Machines automatiques de vente de produits, sans dispositif de chauffage ou de réfrigération et machines pour changer la monnaie (sauf machines automatiques de vente de boissons)</v>
      </c>
      <c r="C11166">
        <v>113582</v>
      </c>
      <c r="D11166">
        <v>2</v>
      </c>
    </row>
    <row r="11167" spans="1:4" x14ac:dyDescent="0.25">
      <c r="A11167" t="str">
        <f>T("   847989")</f>
        <v xml:space="preserve">   847989</v>
      </c>
      <c r="B11167" t="str">
        <f>T("   Machines et appareils, y.c. les appareils mécaniques, n.d.a.")</f>
        <v xml:space="preserve">   Machines et appareils, y.c. les appareils mécaniques, n.d.a.</v>
      </c>
      <c r="C11167">
        <v>76475590</v>
      </c>
      <c r="D11167">
        <v>2555</v>
      </c>
    </row>
    <row r="11168" spans="1:4" x14ac:dyDescent="0.25">
      <c r="A11168" t="str">
        <f>T("   847990")</f>
        <v xml:space="preserve">   847990</v>
      </c>
      <c r="B11168" t="str">
        <f>T("   Parties de machines et appareils, y.c. les appareils mécaniques, n.d.a.")</f>
        <v xml:space="preserve">   Parties de machines et appareils, y.c. les appareils mécaniques, n.d.a.</v>
      </c>
      <c r="C11168">
        <v>25152089</v>
      </c>
      <c r="D11168">
        <v>1295</v>
      </c>
    </row>
    <row r="11169" spans="1:4" x14ac:dyDescent="0.25">
      <c r="A11169" t="str">
        <f>T("   848120")</f>
        <v xml:space="preserve">   848120</v>
      </c>
      <c r="B11169" t="str">
        <f>T("   Valves pour transmissions oléohydrauliques ou pneumatiques")</f>
        <v xml:space="preserve">   Valves pour transmissions oléohydrauliques ou pneumatiques</v>
      </c>
      <c r="C11169">
        <v>5815741</v>
      </c>
      <c r="D11169">
        <v>144</v>
      </c>
    </row>
    <row r="11170" spans="1:4" x14ac:dyDescent="0.25">
      <c r="A11170" t="str">
        <f>T("   848180")</f>
        <v xml:space="preserve">   848180</v>
      </c>
      <c r="B11170"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11170">
        <v>8811826</v>
      </c>
      <c r="D11170">
        <v>244</v>
      </c>
    </row>
    <row r="11171" spans="1:4" x14ac:dyDescent="0.25">
      <c r="A11171" t="str">
        <f>T("   848190")</f>
        <v xml:space="preserve">   848190</v>
      </c>
      <c r="B11171" t="str">
        <f>T("   Parties d'articles de robinetterie et organes simil. pour tuyauterie, etc., n.d.a.")</f>
        <v xml:space="preserve">   Parties d'articles de robinetterie et organes simil. pour tuyauterie, etc., n.d.a.</v>
      </c>
      <c r="C11171">
        <v>95229</v>
      </c>
      <c r="D11171">
        <v>2</v>
      </c>
    </row>
    <row r="11172" spans="1:4" x14ac:dyDescent="0.25">
      <c r="A11172" t="str">
        <f>T("   848210")</f>
        <v xml:space="preserve">   848210</v>
      </c>
      <c r="B11172" t="str">
        <f>T("   Roulements à billes")</f>
        <v xml:space="preserve">   Roulements à billes</v>
      </c>
      <c r="C11172">
        <v>1341438</v>
      </c>
      <c r="D11172">
        <v>103</v>
      </c>
    </row>
    <row r="11173" spans="1:4" x14ac:dyDescent="0.25">
      <c r="A11173" t="str">
        <f>T("   848220")</f>
        <v xml:space="preserve">   848220</v>
      </c>
      <c r="B11173" t="str">
        <f>T("   Roulements à rouleaux coniques, y.c. les assemblages de cônes et rouleaux coniques")</f>
        <v xml:space="preserve">   Roulements à rouleaux coniques, y.c. les assemblages de cônes et rouleaux coniques</v>
      </c>
      <c r="C11173">
        <v>34110</v>
      </c>
      <c r="D11173">
        <v>1</v>
      </c>
    </row>
    <row r="11174" spans="1:4" x14ac:dyDescent="0.25">
      <c r="A11174" t="str">
        <f>T("   848280")</f>
        <v xml:space="preserve">   848280</v>
      </c>
      <c r="B11174" t="s">
        <v>447</v>
      </c>
      <c r="C11174">
        <v>6174156</v>
      </c>
      <c r="D11174">
        <v>267</v>
      </c>
    </row>
    <row r="11175" spans="1:4" x14ac:dyDescent="0.25">
      <c r="A11175" t="str">
        <f>T("   848350")</f>
        <v xml:space="preserve">   848350</v>
      </c>
      <c r="B11175" t="str">
        <f>T("   Volants et poulies, y.c. les poulies à moufles")</f>
        <v xml:space="preserve">   Volants et poulies, y.c. les poulies à moufles</v>
      </c>
      <c r="C11175">
        <v>1479133</v>
      </c>
      <c r="D11175">
        <v>28</v>
      </c>
    </row>
    <row r="11176" spans="1:4" x14ac:dyDescent="0.25">
      <c r="A11176" t="str">
        <f>T("   848360")</f>
        <v xml:space="preserve">   848360</v>
      </c>
      <c r="B11176" t="str">
        <f>T("   Embrayages et organes d'accouplement, y.c. les joints d'articulation, pour machines")</f>
        <v xml:space="preserve">   Embrayages et organes d'accouplement, y.c. les joints d'articulation, pour machines</v>
      </c>
      <c r="C11176">
        <v>2645488</v>
      </c>
      <c r="D11176">
        <v>130</v>
      </c>
    </row>
    <row r="11177" spans="1:4" x14ac:dyDescent="0.25">
      <c r="A11177" t="str">
        <f>T("   848390")</f>
        <v xml:space="preserve">   848390</v>
      </c>
      <c r="B11177" t="str">
        <f>T("   Roues dentées et autres organes élémentaires de transmission présentés séparément; parties d'organes mécaniques, d'organes de transmission, d'engrenages, de variateurs de vitesses, d'organes d'accouplement et d'autres organes du n° 8483, n.d.a.")</f>
        <v xml:space="preserve">   Roues dentées et autres organes élémentaires de transmission présentés séparément; parties d'organes mécaniques, d'organes de transmission, d'engrenages, de variateurs de vitesses, d'organes d'accouplement et d'autres organes du n° 8483, n.d.a.</v>
      </c>
      <c r="C11177">
        <v>14380674</v>
      </c>
      <c r="D11177">
        <v>997</v>
      </c>
    </row>
    <row r="11178" spans="1:4" x14ac:dyDescent="0.25">
      <c r="A11178" t="str">
        <f>T("   848490")</f>
        <v xml:space="preserve">   848490</v>
      </c>
      <c r="B11178" t="str">
        <f>T("   Jeux ou assortiments de joints de composition différente présentés en pochettes, enveloppes ou emballages analogues")</f>
        <v xml:space="preserve">   Jeux ou assortiments de joints de composition différente présentés en pochettes, enveloppes ou emballages analogues</v>
      </c>
      <c r="C11178">
        <v>15073613</v>
      </c>
      <c r="D11178">
        <v>600</v>
      </c>
    </row>
    <row r="11179" spans="1:4" x14ac:dyDescent="0.25">
      <c r="A11179" t="str">
        <f>T("   848590")</f>
        <v xml:space="preserve">   848590</v>
      </c>
      <c r="B11179" t="str">
        <f>T("   Parties de machines et appareils du chapitre 84, sans caractéristiques spéciales d'utilisation, n.d.a.")</f>
        <v xml:space="preserve">   Parties de machines et appareils du chapitre 84, sans caractéristiques spéciales d'utilisation, n.d.a.</v>
      </c>
      <c r="C11179">
        <v>8270000</v>
      </c>
      <c r="D11179">
        <v>40824</v>
      </c>
    </row>
    <row r="11180" spans="1:4" x14ac:dyDescent="0.25">
      <c r="A11180" t="str">
        <f>T("   850161")</f>
        <v xml:space="preserve">   850161</v>
      </c>
      <c r="B11180" t="str">
        <f>T("   Alternateurs, puissance &lt;= 75 kVA")</f>
        <v xml:space="preserve">   Alternateurs, puissance &lt;= 75 kVA</v>
      </c>
      <c r="C11180">
        <v>4688043</v>
      </c>
      <c r="D11180">
        <v>500</v>
      </c>
    </row>
    <row r="11181" spans="1:4" x14ac:dyDescent="0.25">
      <c r="A11181" t="str">
        <f>T("   850162")</f>
        <v xml:space="preserve">   850162</v>
      </c>
      <c r="B11181" t="str">
        <f>T("   Alternateurs, puissance &gt; 75 kVA mais &lt;= 375 kVA")</f>
        <v xml:space="preserve">   Alternateurs, puissance &gt; 75 kVA mais &lt;= 375 kVA</v>
      </c>
      <c r="C11181">
        <v>31210577</v>
      </c>
      <c r="D11181">
        <v>4035</v>
      </c>
    </row>
    <row r="11182" spans="1:4" x14ac:dyDescent="0.25">
      <c r="A11182" t="str">
        <f>T("   850211")</f>
        <v xml:space="preserve">   850211</v>
      </c>
      <c r="B11182" t="s">
        <v>449</v>
      </c>
      <c r="C11182">
        <v>10611650</v>
      </c>
      <c r="D11182">
        <v>2350</v>
      </c>
    </row>
    <row r="11183" spans="1:4" x14ac:dyDescent="0.25">
      <c r="A11183" t="str">
        <f>T("   850212")</f>
        <v xml:space="preserve">   850212</v>
      </c>
      <c r="B11183"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11183">
        <v>680000</v>
      </c>
      <c r="D11183">
        <v>300</v>
      </c>
    </row>
    <row r="11184" spans="1:4" x14ac:dyDescent="0.25">
      <c r="A11184" t="str">
        <f>T("   850239")</f>
        <v xml:space="preserve">   850239</v>
      </c>
      <c r="B11184" t="str">
        <f>T("   Groupes électrogènes (autres qu'à énergie éolienne et à moteurs à piston)")</f>
        <v xml:space="preserve">   Groupes électrogènes (autres qu'à énergie éolienne et à moteurs à piston)</v>
      </c>
      <c r="C11184">
        <v>125288</v>
      </c>
      <c r="D11184">
        <v>300</v>
      </c>
    </row>
    <row r="11185" spans="1:4" x14ac:dyDescent="0.25">
      <c r="A11185" t="str">
        <f>T("   850300")</f>
        <v xml:space="preserve">   850300</v>
      </c>
      <c r="B11185" t="str">
        <f>T("   Parties reconnaissables comme étant exclusivement ou principalement destinées aux moteurs et machines génératrices électriques, groupes électrogènes ou convertisseurs rotatifs électriques n.d.a.")</f>
        <v xml:space="preserve">   Parties reconnaissables comme étant exclusivement ou principalement destinées aux moteurs et machines génératrices électriques, groupes électrogènes ou convertisseurs rotatifs électriques n.d.a.</v>
      </c>
      <c r="C11185">
        <v>967966</v>
      </c>
      <c r="D11185">
        <v>37.5</v>
      </c>
    </row>
    <row r="11186" spans="1:4" x14ac:dyDescent="0.25">
      <c r="A11186" t="str">
        <f>T("   850431")</f>
        <v xml:space="preserve">   850431</v>
      </c>
      <c r="B11186" t="str">
        <f>T("   Transformateurs à sec, puissance &lt;= 1 kVA")</f>
        <v xml:space="preserve">   Transformateurs à sec, puissance &lt;= 1 kVA</v>
      </c>
      <c r="C11186">
        <v>461140</v>
      </c>
      <c r="D11186">
        <v>1.1000000000000001</v>
      </c>
    </row>
    <row r="11187" spans="1:4" x14ac:dyDescent="0.25">
      <c r="A11187" t="str">
        <f>T("   850433")</f>
        <v xml:space="preserve">   850433</v>
      </c>
      <c r="B11187" t="str">
        <f>T("   Transformateurs à sec, puissance &gt; 16 kVA mais &lt;= 500 kVA")</f>
        <v xml:space="preserve">   Transformateurs à sec, puissance &gt; 16 kVA mais &lt;= 500 kVA</v>
      </c>
      <c r="C11187">
        <v>5587304</v>
      </c>
      <c r="D11187">
        <v>596</v>
      </c>
    </row>
    <row r="11188" spans="1:4" x14ac:dyDescent="0.25">
      <c r="A11188" t="str">
        <f>T("   850434")</f>
        <v xml:space="preserve">   850434</v>
      </c>
      <c r="B11188" t="str">
        <f>T("   Transformateurs à sec, puissance &gt; 500 kVA")</f>
        <v xml:space="preserve">   Transformateurs à sec, puissance &gt; 500 kVA</v>
      </c>
      <c r="C11188">
        <v>17053865</v>
      </c>
      <c r="D11188">
        <v>5720</v>
      </c>
    </row>
    <row r="11189" spans="1:4" x14ac:dyDescent="0.25">
      <c r="A11189" t="str">
        <f>T("   850440")</f>
        <v xml:space="preserve">   850440</v>
      </c>
      <c r="B11189" t="str">
        <f>T("   CONVERTISSEURS STATIQUES")</f>
        <v xml:space="preserve">   CONVERTISSEURS STATIQUES</v>
      </c>
      <c r="C11189">
        <v>8114067</v>
      </c>
      <c r="D11189">
        <v>533</v>
      </c>
    </row>
    <row r="11190" spans="1:4" x14ac:dyDescent="0.25">
      <c r="A11190" t="str">
        <f>T("   850680")</f>
        <v xml:space="preserve">   850680</v>
      </c>
      <c r="B11190" t="str">
        <f>T("   Piles et batteries de piles électriques (sauf hors d'usage et autres que piles et batteries à l'oxyde d'argent, de mercure, au bioxyde de manganèse, au lithium et à l'air-zinc)")</f>
        <v xml:space="preserve">   Piles et batteries de piles électriques (sauf hors d'usage et autres que piles et batteries à l'oxyde d'argent, de mercure, au bioxyde de manganèse, au lithium et à l'air-zinc)</v>
      </c>
      <c r="C11190">
        <v>1800000</v>
      </c>
      <c r="D11190">
        <v>1020</v>
      </c>
    </row>
    <row r="11191" spans="1:4" x14ac:dyDescent="0.25">
      <c r="A11191" t="str">
        <f>T("   850780")</f>
        <v xml:space="preserve">   850780</v>
      </c>
      <c r="B11191" t="str">
        <f>T("   Accumulateurs électriques (sauf hors d'usage et autres qu'au plomb, au nickel-cadmium ou au nickel-fer)")</f>
        <v xml:space="preserve">   Accumulateurs électriques (sauf hors d'usage et autres qu'au plomb, au nickel-cadmium ou au nickel-fer)</v>
      </c>
      <c r="C11191">
        <v>1594927</v>
      </c>
      <c r="D11191">
        <v>44</v>
      </c>
    </row>
    <row r="11192" spans="1:4" x14ac:dyDescent="0.25">
      <c r="A11192" t="str">
        <f>T("   851140")</f>
        <v xml:space="preserve">   851140</v>
      </c>
      <c r="B11192" t="str">
        <f>T("   Démarreurs, même fonctionnant comme génératrices, pour moteurs à allumage par étincelles ou par compression")</f>
        <v xml:space="preserve">   Démarreurs, même fonctionnant comme génératrices, pour moteurs à allumage par étincelles ou par compression</v>
      </c>
      <c r="C11192">
        <v>450125</v>
      </c>
      <c r="D11192">
        <v>64</v>
      </c>
    </row>
    <row r="11193" spans="1:4" x14ac:dyDescent="0.25">
      <c r="A11193" t="str">
        <f>T("   851150")</f>
        <v xml:space="preserve">   851150</v>
      </c>
      <c r="B11193" t="str">
        <f>T("   Génératrices pour moteurs à allumage par étincelles ou par compression (autres que dynamos-magnétos et démarreurs fonctionnant comme génératrices)")</f>
        <v xml:space="preserve">   Génératrices pour moteurs à allumage par étincelles ou par compression (autres que dynamos-magnétos et démarreurs fonctionnant comme génératrices)</v>
      </c>
      <c r="C11193">
        <v>436214</v>
      </c>
      <c r="D11193">
        <v>6</v>
      </c>
    </row>
    <row r="11194" spans="1:4" x14ac:dyDescent="0.25">
      <c r="A11194" t="str">
        <f>T("   851180")</f>
        <v xml:space="preserve">   851180</v>
      </c>
      <c r="B11194" t="s">
        <v>453</v>
      </c>
      <c r="C11194">
        <v>1382428</v>
      </c>
      <c r="D11194">
        <v>1113</v>
      </c>
    </row>
    <row r="11195" spans="1:4" x14ac:dyDescent="0.25">
      <c r="A11195" t="str">
        <f>T("   851190")</f>
        <v xml:space="preserve">   851190</v>
      </c>
      <c r="B11195" t="str">
        <f>T("   Parties des appareils et dispositifs électriques d'allumage et de démarrage, génératrices etc. du n° 8511, n.d.a.")</f>
        <v xml:space="preserve">   Parties des appareils et dispositifs électriques d'allumage et de démarrage, génératrices etc. du n° 8511, n.d.a.</v>
      </c>
      <c r="C11195">
        <v>177765</v>
      </c>
      <c r="D11195">
        <v>2</v>
      </c>
    </row>
    <row r="11196" spans="1:4" x14ac:dyDescent="0.25">
      <c r="A11196" t="str">
        <f>T("   851220")</f>
        <v xml:space="preserve">   851220</v>
      </c>
      <c r="B11196" t="str">
        <f>T("   Appareils électriques d'éclairage ou de signalisation visuelle, pour automobiles (à l'excl. des lampes du n° 8539)")</f>
        <v xml:space="preserve">   Appareils électriques d'éclairage ou de signalisation visuelle, pour automobiles (à l'excl. des lampes du n° 8539)</v>
      </c>
      <c r="C11196">
        <v>2600492</v>
      </c>
      <c r="D11196">
        <v>807</v>
      </c>
    </row>
    <row r="11197" spans="1:4" x14ac:dyDescent="0.25">
      <c r="A11197" t="str">
        <f>T("   851531")</f>
        <v xml:space="preserve">   851531</v>
      </c>
      <c r="B11197" t="str">
        <f>T("   Machines et appareils pour le soudage des métaux à l'arc ou au jet de plasma, entièrement ou partiellement automatiques")</f>
        <v xml:space="preserve">   Machines et appareils pour le soudage des métaux à l'arc ou au jet de plasma, entièrement ou partiellement automatiques</v>
      </c>
      <c r="C11197">
        <v>1158353</v>
      </c>
      <c r="D11197">
        <v>125</v>
      </c>
    </row>
    <row r="11198" spans="1:4" x14ac:dyDescent="0.25">
      <c r="A11198" t="str">
        <f>T("   851590")</f>
        <v xml:space="preserve">   851590</v>
      </c>
      <c r="B11198" t="str">
        <f>T("   Parties de machines et appareils électriques pour le brasage, le soudage ou la projection à chaud de métaux, de carbures métalliques frittés ou de cermets, n.d.a.")</f>
        <v xml:space="preserve">   Parties de machines et appareils électriques pour le brasage, le soudage ou la projection à chaud de métaux, de carbures métalliques frittés ou de cermets, n.d.a.</v>
      </c>
      <c r="C11198">
        <v>690070</v>
      </c>
      <c r="D11198">
        <v>125</v>
      </c>
    </row>
    <row r="11199" spans="1:4" x14ac:dyDescent="0.25">
      <c r="A11199" t="str">
        <f>T("   851660")</f>
        <v xml:space="preserve">   851660</v>
      </c>
      <c r="B11199" t="str">
        <f>T("   Fours, cuisinières, réchauds, tables de cuisson, grils et rôtissoires électriques, pour usages domestiques (sauf fours destinés au chauffage des locaux et fours à micro-ondes)")</f>
        <v xml:space="preserve">   Fours, cuisinières, réchauds, tables de cuisson, grils et rôtissoires électriques, pour usages domestiques (sauf fours destinés au chauffage des locaux et fours à micro-ondes)</v>
      </c>
      <c r="C11199">
        <v>300200</v>
      </c>
      <c r="D11199">
        <v>60</v>
      </c>
    </row>
    <row r="11200" spans="1:4" x14ac:dyDescent="0.25">
      <c r="A11200" t="str">
        <f>T("   851679")</f>
        <v xml:space="preserve">   851679</v>
      </c>
      <c r="B11200" t="s">
        <v>456</v>
      </c>
      <c r="C11200">
        <v>2274869</v>
      </c>
      <c r="D11200">
        <v>10845</v>
      </c>
    </row>
    <row r="11201" spans="1:4" x14ac:dyDescent="0.25">
      <c r="A11201" t="str">
        <f>T("   851711")</f>
        <v xml:space="preserve">   851711</v>
      </c>
      <c r="B11201" t="str">
        <f>T("   Postes téléphoniques d'usagers pour la téléphonie par fil à combinés sans fil")</f>
        <v xml:space="preserve">   Postes téléphoniques d'usagers pour la téléphonie par fil à combinés sans fil</v>
      </c>
      <c r="C11201">
        <v>33607708</v>
      </c>
      <c r="D11201">
        <v>1927</v>
      </c>
    </row>
    <row r="11202" spans="1:4" x14ac:dyDescent="0.25">
      <c r="A11202" t="str">
        <f>T("   851790")</f>
        <v xml:space="preserve">   851790</v>
      </c>
      <c r="B11202" t="s">
        <v>459</v>
      </c>
      <c r="C11202">
        <v>250000</v>
      </c>
      <c r="D11202">
        <v>10</v>
      </c>
    </row>
    <row r="11203" spans="1:4" x14ac:dyDescent="0.25">
      <c r="A11203" t="str">
        <f>T("   851829")</f>
        <v xml:space="preserve">   851829</v>
      </c>
      <c r="B11203" t="str">
        <f>T("   Haut-parleurs sans enceinte")</f>
        <v xml:space="preserve">   Haut-parleurs sans enceinte</v>
      </c>
      <c r="C11203">
        <v>227254</v>
      </c>
      <c r="D11203">
        <v>1011</v>
      </c>
    </row>
    <row r="11204" spans="1:4" x14ac:dyDescent="0.25">
      <c r="A11204" t="str">
        <f>T("   851999")</f>
        <v xml:space="preserve">   851999</v>
      </c>
      <c r="B11204" t="str">
        <f>T("   Appareils de reproduction du son, n'incorporant pas de dispositif d'enregistrement du son (autres que tourne-disques, électrophones commandés par l'introduction d'une pièce de monnaie ou d'un jeton, machines à dicter et lecteurs de cassettes)")</f>
        <v xml:space="preserve">   Appareils de reproduction du son, n'incorporant pas de dispositif d'enregistrement du son (autres que tourne-disques, électrophones commandés par l'introduction d'une pièce de monnaie ou d'un jeton, machines à dicter et lecteurs de cassettes)</v>
      </c>
      <c r="C11204">
        <v>708509</v>
      </c>
      <c r="D11204">
        <v>2859</v>
      </c>
    </row>
    <row r="11205" spans="1:4" x14ac:dyDescent="0.25">
      <c r="A11205" t="str">
        <f>T("   852190")</f>
        <v xml:space="preserve">   852190</v>
      </c>
      <c r="B11205" t="s">
        <v>462</v>
      </c>
      <c r="C11205">
        <v>325000</v>
      </c>
      <c r="D11205">
        <v>331</v>
      </c>
    </row>
    <row r="11206" spans="1:4" x14ac:dyDescent="0.25">
      <c r="A11206" t="str">
        <f>T("   852390")</f>
        <v xml:space="preserve">   852390</v>
      </c>
      <c r="B11206" t="str">
        <f>T("   SUPPORTS PRÉPARÉS POUR L'ENREGISTREMENT DU SON OU POUR ENREGISTREMENTS ANALOGUES, NON-ENREGISTRÉS (AUTRES QUE BANDES ET DISQUES MAGNÉTIQUES, CARTES MUNIES D'UNE PISTE MAGNÉTIQUE ET PRODUITS DU CHAPITRE 37)")</f>
        <v xml:space="preserve">   SUPPORTS PRÉPARÉS POUR L'ENREGISTREMENT DU SON OU POUR ENREGISTREMENTS ANALOGUES, NON-ENREGISTRÉS (AUTRES QUE BANDES ET DISQUES MAGNÉTIQUES, CARTES MUNIES D'UNE PISTE MAGNÉTIQUE ET PRODUITS DU CHAPITRE 37)</v>
      </c>
      <c r="C11206">
        <v>489075</v>
      </c>
      <c r="D11206">
        <v>14</v>
      </c>
    </row>
    <row r="11207" spans="1:4" x14ac:dyDescent="0.25">
      <c r="A11207" t="str">
        <f>T("   852439")</f>
        <v xml:space="preserve">   852439</v>
      </c>
      <c r="B11207" t="str">
        <f>T("   Disques enregistrés pour systèmes de lecture optique par faisceau laser, pour la reproduction du son et de l'image ou de l'image uniquement")</f>
        <v xml:space="preserve">   Disques enregistrés pour systèmes de lecture optique par faisceau laser, pour la reproduction du son et de l'image ou de l'image uniquement</v>
      </c>
      <c r="C11207">
        <v>25000</v>
      </c>
      <c r="D11207">
        <v>50</v>
      </c>
    </row>
    <row r="11208" spans="1:4" x14ac:dyDescent="0.25">
      <c r="A11208" t="str">
        <f>T("   852540")</f>
        <v xml:space="preserve">   852540</v>
      </c>
      <c r="B11208" t="str">
        <f>T("   Appareils de prise de vues fixes vidéo et autres caméscopes; appareils photographiques numériques")</f>
        <v xml:space="preserve">   Appareils de prise de vues fixes vidéo et autres caméscopes; appareils photographiques numériques</v>
      </c>
      <c r="C11208">
        <v>1752784</v>
      </c>
      <c r="D11208">
        <v>211</v>
      </c>
    </row>
    <row r="11209" spans="1:4" x14ac:dyDescent="0.25">
      <c r="A11209" t="str">
        <f>T("   852713")</f>
        <v xml:space="preserve">   852713</v>
      </c>
      <c r="B11209" t="str">
        <f>T("   RÉCEPTEURS DE RADIODIFFUSION POUVANT FONCTIONNER SANS SOURCE D'ÉNERGIE EXTÉRIEURE, COMBINÉS À UN APPAREIL D'ENREGISTREMENT OU DE REPRODUCTION DU SON (À L'EXCL. DES RADIOCASSETTES DE POCHE)")</f>
        <v xml:space="preserve">   RÉCEPTEURS DE RADIODIFFUSION POUVANT FONCTIONNER SANS SOURCE D'ÉNERGIE EXTÉRIEURE, COMBINÉS À UN APPAREIL D'ENREGISTREMENT OU DE REPRODUCTION DU SON (À L'EXCL. DES RADIOCASSETTES DE POCHE)</v>
      </c>
      <c r="C11209">
        <v>298563</v>
      </c>
      <c r="D11209">
        <v>1575</v>
      </c>
    </row>
    <row r="11210" spans="1:4" x14ac:dyDescent="0.25">
      <c r="A11210" t="str">
        <f>T("   852719")</f>
        <v xml:space="preserve">   852719</v>
      </c>
      <c r="B11210" t="str">
        <f>T("   Récepteurs de radiodiffusion pouvant fonctionner sans source d'énergie extérieure, y.c. les appareils recevant également la radiotéléphonie ou la radiotélégraphie, non combinés à un appareil d'enregistrement et de reproduction du son")</f>
        <v xml:space="preserve">   Récepteurs de radiodiffusion pouvant fonctionner sans source d'énergie extérieure, y.c. les appareils recevant également la radiotéléphonie ou la radiotélégraphie, non combinés à un appareil d'enregistrement et de reproduction du son</v>
      </c>
      <c r="C11210">
        <v>103642</v>
      </c>
      <c r="D11210">
        <v>650</v>
      </c>
    </row>
    <row r="11211" spans="1:4" x14ac:dyDescent="0.25">
      <c r="A11211" t="str">
        <f>T("   852721")</f>
        <v xml:space="preserve">   852721</v>
      </c>
      <c r="B11211" t="str">
        <f>T("   RÉCEPTEURS DE RADIODIFFUSION NE POUVANT FONCTIONNER QU'AVEC UNE SOURCE D'ÉNERGIE EXTÉRIEURE, POUR VÉHICULES AUTOMOBILES, COMBINÉS À UN APPAREIL D'ENREGISTREMENT OU DE REPRODUCTION DU SON")</f>
        <v xml:space="preserve">   RÉCEPTEURS DE RADIODIFFUSION NE POUVANT FONCTIONNER QU'AVEC UNE SOURCE D'ÉNERGIE EXTÉRIEURE, POUR VÉHICULES AUTOMOBILES, COMBINÉS À UN APPAREIL D'ENREGISTREMENT OU DE REPRODUCTION DU SON</v>
      </c>
      <c r="C11211">
        <v>1230491</v>
      </c>
      <c r="D11211">
        <v>4962</v>
      </c>
    </row>
    <row r="11212" spans="1:4" x14ac:dyDescent="0.25">
      <c r="A11212" t="str">
        <f>T("   852729")</f>
        <v xml:space="preserve">   852729</v>
      </c>
      <c r="B11212" t="s">
        <v>466</v>
      </c>
      <c r="C11212">
        <v>501210</v>
      </c>
      <c r="D11212">
        <v>4</v>
      </c>
    </row>
    <row r="11213" spans="1:4" x14ac:dyDescent="0.25">
      <c r="A11213" t="str">
        <f>T("   852812")</f>
        <v xml:space="preserve">   852812</v>
      </c>
      <c r="B11213"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11213">
        <v>7912521</v>
      </c>
      <c r="D11213">
        <v>6081</v>
      </c>
    </row>
    <row r="11214" spans="1:4" x14ac:dyDescent="0.25">
      <c r="A11214" t="str">
        <f>T("   852821")</f>
        <v xml:space="preserve">   852821</v>
      </c>
      <c r="B11214" t="str">
        <f>T("   Moniteurs vidéo en couleurs")</f>
        <v xml:space="preserve">   Moniteurs vidéo en couleurs</v>
      </c>
      <c r="C11214">
        <v>200068</v>
      </c>
      <c r="D11214">
        <v>50</v>
      </c>
    </row>
    <row r="11215" spans="1:4" x14ac:dyDescent="0.25">
      <c r="A11215" t="str">
        <f>T("   852910")</f>
        <v xml:space="preserve">   852910</v>
      </c>
      <c r="B11215"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11215">
        <v>2015307</v>
      </c>
      <c r="D11215">
        <v>247</v>
      </c>
    </row>
    <row r="11216" spans="1:4" x14ac:dyDescent="0.25">
      <c r="A11216" t="str">
        <f>T("   852990")</f>
        <v xml:space="preserve">   852990</v>
      </c>
      <c r="B11216" t="s">
        <v>471</v>
      </c>
      <c r="C11216">
        <v>1294245</v>
      </c>
      <c r="D11216">
        <v>358</v>
      </c>
    </row>
    <row r="11217" spans="1:4" x14ac:dyDescent="0.25">
      <c r="A11217" t="str">
        <f>T("   853400")</f>
        <v xml:space="preserve">   853400</v>
      </c>
      <c r="B11217" t="str">
        <f>T("   Circuits imprimés")</f>
        <v xml:space="preserve">   Circuits imprimés</v>
      </c>
      <c r="C11217">
        <v>64863</v>
      </c>
      <c r="D11217">
        <v>1</v>
      </c>
    </row>
    <row r="11218" spans="1:4" x14ac:dyDescent="0.25">
      <c r="A11218" t="str">
        <f>T("   853620")</f>
        <v xml:space="preserve">   853620</v>
      </c>
      <c r="B11218" t="str">
        <f>T("   Disjoncteurs, pour une tension &lt;= 1.000 V")</f>
        <v xml:space="preserve">   Disjoncteurs, pour une tension &lt;= 1.000 V</v>
      </c>
      <c r="C11218">
        <v>68985</v>
      </c>
      <c r="D11218">
        <v>1</v>
      </c>
    </row>
    <row r="11219" spans="1:4" x14ac:dyDescent="0.25">
      <c r="A11219" t="str">
        <f>T("   853641")</f>
        <v xml:space="preserve">   853641</v>
      </c>
      <c r="B11219" t="str">
        <f>T("   Relais pour une tension &lt;= 60 V")</f>
        <v xml:space="preserve">   Relais pour une tension &lt;= 60 V</v>
      </c>
      <c r="C11219">
        <v>4548552</v>
      </c>
      <c r="D11219">
        <v>310</v>
      </c>
    </row>
    <row r="11220" spans="1:4" x14ac:dyDescent="0.25">
      <c r="A11220" t="str">
        <f>T("   853649")</f>
        <v xml:space="preserve">   853649</v>
      </c>
      <c r="B11220" t="str">
        <f>T("   Relais, pour une tension &gt; 60 V mais &lt;= 1.000 V")</f>
        <v xml:space="preserve">   Relais, pour une tension &gt; 60 V mais &lt;= 1.000 V</v>
      </c>
      <c r="C11220">
        <v>772516</v>
      </c>
      <c r="D11220">
        <v>12</v>
      </c>
    </row>
    <row r="11221" spans="1:4" x14ac:dyDescent="0.25">
      <c r="A11221" t="str">
        <f>T("   853650")</f>
        <v xml:space="preserve">   853650</v>
      </c>
      <c r="B11221" t="str">
        <f>T("   Interrupteurs, sectionneurs et commutateurs, pour une tension &lt;= 1.000 V (autres que relais et disjoncteurs)")</f>
        <v xml:space="preserve">   Interrupteurs, sectionneurs et commutateurs, pour une tension &lt;= 1.000 V (autres que relais et disjoncteurs)</v>
      </c>
      <c r="C11221">
        <v>1717987</v>
      </c>
      <c r="D11221">
        <v>35</v>
      </c>
    </row>
    <row r="11222" spans="1:4" x14ac:dyDescent="0.25">
      <c r="A11222" t="str">
        <f>T("   853669")</f>
        <v xml:space="preserve">   853669</v>
      </c>
      <c r="B11222" t="str">
        <f>T("   Fiches et prises de courant, pour une tension &lt;= 1.000 V (sauf douilles pour lampes)")</f>
        <v xml:space="preserve">   Fiches et prises de courant, pour une tension &lt;= 1.000 V (sauf douilles pour lampes)</v>
      </c>
      <c r="C11222">
        <v>106921</v>
      </c>
      <c r="D11222">
        <v>8</v>
      </c>
    </row>
    <row r="11223" spans="1:4" x14ac:dyDescent="0.25">
      <c r="A11223" t="str">
        <f>T("   853890")</f>
        <v xml:space="preserve">   853890</v>
      </c>
      <c r="B11223" t="s">
        <v>475</v>
      </c>
      <c r="C11223">
        <v>1894125</v>
      </c>
      <c r="D11223">
        <v>105</v>
      </c>
    </row>
    <row r="11224" spans="1:4" x14ac:dyDescent="0.25">
      <c r="A11224" t="str">
        <f>T("   853921")</f>
        <v xml:space="preserve">   853921</v>
      </c>
      <c r="B11224" t="str">
        <f>T("   Lampes et tubes halogènes, au tungstène (autres que phares et projecteurs scellés)")</f>
        <v xml:space="preserve">   Lampes et tubes halogènes, au tungstène (autres que phares et projecteurs scellés)</v>
      </c>
      <c r="C11224">
        <v>20991</v>
      </c>
      <c r="D11224">
        <v>1</v>
      </c>
    </row>
    <row r="11225" spans="1:4" x14ac:dyDescent="0.25">
      <c r="A11225" t="str">
        <f>T("   853929")</f>
        <v xml:space="preserve">   853929</v>
      </c>
      <c r="B11225" t="str">
        <f>T("   Lampes et tubes à incandescence électriques (autres que lampes et tubes halogènes, au tungstène, lampes d'une puissance &lt;= 200 W et pour une tension &gt; 100 V, et lampes à rayons ultraviolets ou infrarouges)")</f>
        <v xml:space="preserve">   Lampes et tubes à incandescence électriques (autres que lampes et tubes halogènes, au tungstène, lampes d'une puissance &lt;= 200 W et pour une tension &gt; 100 V, et lampes à rayons ultraviolets ou infrarouges)</v>
      </c>
      <c r="C11225">
        <v>419814</v>
      </c>
      <c r="D11225">
        <v>36</v>
      </c>
    </row>
    <row r="11226" spans="1:4" x14ac:dyDescent="0.25">
      <c r="A11226" t="str">
        <f>T("   853939")</f>
        <v xml:space="preserve">   853939</v>
      </c>
      <c r="B11226" t="str">
        <f>T("   Lampes et tubes à décharge (autres que fluorescents, à cathode chaude, à vapeur de mercure ou de sodium, à halogénure métallique et qu'à rayons ultraviolets)")</f>
        <v xml:space="preserve">   Lampes et tubes à décharge (autres que fluorescents, à cathode chaude, à vapeur de mercure ou de sodium, à halogénure métallique et qu'à rayons ultraviolets)</v>
      </c>
      <c r="C11226">
        <v>13775</v>
      </c>
      <c r="D11226">
        <v>1</v>
      </c>
    </row>
    <row r="11227" spans="1:4" x14ac:dyDescent="0.25">
      <c r="A11227" t="str">
        <f>T("   854390")</f>
        <v xml:space="preserve">   854390</v>
      </c>
      <c r="B11227" t="str">
        <f>T("   PARTIES DE MACHINES ET APPAREILS ÉLECTRIQUES AYANT UNE FONCTION PROPRE, N.D.A. DANS LE CHAPITRE 85")</f>
        <v xml:space="preserve">   PARTIES DE MACHINES ET APPAREILS ÉLECTRIQUES AYANT UNE FONCTION PROPRE, N.D.A. DANS LE CHAPITRE 85</v>
      </c>
      <c r="C11227">
        <v>616602</v>
      </c>
      <c r="D11227">
        <v>1</v>
      </c>
    </row>
    <row r="11228" spans="1:4" x14ac:dyDescent="0.25">
      <c r="A11228" t="str">
        <f>T("   854449")</f>
        <v xml:space="preserve">   854449</v>
      </c>
      <c r="B11228" t="str">
        <f>T("   CONDUCTEURS ÉLECTRIQUES, POUR TENSION &lt;= 1.000 V, ISOLÉS, SANS PIÈCES DE CONNEXION, N.D.A.")</f>
        <v xml:space="preserve">   CONDUCTEURS ÉLECTRIQUES, POUR TENSION &lt;= 1.000 V, ISOLÉS, SANS PIÈCES DE CONNEXION, N.D.A.</v>
      </c>
      <c r="C11228">
        <v>106266</v>
      </c>
      <c r="D11228">
        <v>4</v>
      </c>
    </row>
    <row r="11229" spans="1:4" x14ac:dyDescent="0.25">
      <c r="A11229" t="str">
        <f>T("   854460")</f>
        <v xml:space="preserve">   854460</v>
      </c>
      <c r="B11229" t="str">
        <f>T("   Conducteurs électriques, pour tension &gt; 1.000 V, n.d.a.")</f>
        <v xml:space="preserve">   Conducteurs électriques, pour tension &gt; 1.000 V, n.d.a.</v>
      </c>
      <c r="C11229">
        <v>9183</v>
      </c>
      <c r="D11229">
        <v>1</v>
      </c>
    </row>
    <row r="11230" spans="1:4" x14ac:dyDescent="0.25">
      <c r="A11230" t="str">
        <f>T("   870120")</f>
        <v xml:space="preserve">   870120</v>
      </c>
      <c r="B11230" t="str">
        <f>T("   Tracteurs routiers pour semi-remorques")</f>
        <v xml:space="preserve">   Tracteurs routiers pour semi-remorques</v>
      </c>
      <c r="C11230">
        <v>173479048</v>
      </c>
      <c r="D11230">
        <v>199908</v>
      </c>
    </row>
    <row r="11231" spans="1:4" x14ac:dyDescent="0.25">
      <c r="A11231" t="str">
        <f>T("   870190")</f>
        <v xml:space="preserve">   870190</v>
      </c>
      <c r="B11231" t="str">
        <f>T("   Tracteurs (à l'excl. des chariots-tracteurs du n° 8709, ainsi que des motoculteurs, tracteurs routiers pour semi-remorques et tracteurs à chenilles)")</f>
        <v xml:space="preserve">   Tracteurs (à l'excl. des chariots-tracteurs du n° 8709, ainsi que des motoculteurs, tracteurs routiers pour semi-remorques et tracteurs à chenilles)</v>
      </c>
      <c r="C11231">
        <v>1151742135</v>
      </c>
      <c r="D11231">
        <v>272273</v>
      </c>
    </row>
    <row r="11232" spans="1:4" x14ac:dyDescent="0.25">
      <c r="A11232" t="str">
        <f>T("   870210")</f>
        <v xml:space="preserve">   870210</v>
      </c>
      <c r="B11232" t="s">
        <v>477</v>
      </c>
      <c r="C11232">
        <v>20038356</v>
      </c>
      <c r="D11232">
        <v>10389</v>
      </c>
    </row>
    <row r="11233" spans="1:4" x14ac:dyDescent="0.25">
      <c r="A11233" t="str">
        <f>T("   870290")</f>
        <v xml:space="preserve">   870290</v>
      </c>
      <c r="B11233" t="s">
        <v>478</v>
      </c>
      <c r="C11233">
        <v>30927700</v>
      </c>
      <c r="D11233">
        <v>37027</v>
      </c>
    </row>
    <row r="11234" spans="1:4" x14ac:dyDescent="0.25">
      <c r="A11234" t="str">
        <f>T("   870322")</f>
        <v xml:space="preserve">   870322</v>
      </c>
      <c r="B11234" t="s">
        <v>480</v>
      </c>
      <c r="C11234">
        <v>5441305966</v>
      </c>
      <c r="D11234">
        <v>3886546</v>
      </c>
    </row>
    <row r="11235" spans="1:4" x14ac:dyDescent="0.25">
      <c r="A11235" t="str">
        <f>T("   870323")</f>
        <v xml:space="preserve">   870323</v>
      </c>
      <c r="B11235" t="s">
        <v>481</v>
      </c>
      <c r="C11235">
        <v>3692763206</v>
      </c>
      <c r="D11235">
        <v>2392239</v>
      </c>
    </row>
    <row r="11236" spans="1:4" x14ac:dyDescent="0.25">
      <c r="A11236" t="str">
        <f>T("   870324")</f>
        <v xml:space="preserve">   870324</v>
      </c>
      <c r="B11236" t="s">
        <v>482</v>
      </c>
      <c r="C11236">
        <v>493597378</v>
      </c>
      <c r="D11236">
        <v>389542</v>
      </c>
    </row>
    <row r="11237" spans="1:4" x14ac:dyDescent="0.25">
      <c r="A11237" t="str">
        <f>T("   870332")</f>
        <v xml:space="preserve">   870332</v>
      </c>
      <c r="B11237" t="s">
        <v>484</v>
      </c>
      <c r="C11237">
        <v>77276694</v>
      </c>
      <c r="D11237">
        <v>24324</v>
      </c>
    </row>
    <row r="11238" spans="1:4" x14ac:dyDescent="0.25">
      <c r="A11238" t="str">
        <f>T("   870333")</f>
        <v xml:space="preserve">   870333</v>
      </c>
      <c r="B11238" t="s">
        <v>485</v>
      </c>
      <c r="C11238">
        <v>15812990</v>
      </c>
      <c r="D11238">
        <v>11199</v>
      </c>
    </row>
    <row r="11239" spans="1:4" x14ac:dyDescent="0.25">
      <c r="A11239" t="str">
        <f>T("   870421")</f>
        <v xml:space="preserve">   870421</v>
      </c>
      <c r="B11239" t="s">
        <v>486</v>
      </c>
      <c r="C11239">
        <v>216378086</v>
      </c>
      <c r="D11239">
        <v>140684</v>
      </c>
    </row>
    <row r="11240" spans="1:4" x14ac:dyDescent="0.25">
      <c r="A11240" t="str">
        <f>T("   870422")</f>
        <v xml:space="preserve">   870422</v>
      </c>
      <c r="B11240" t="s">
        <v>487</v>
      </c>
      <c r="C11240">
        <v>1541311638</v>
      </c>
      <c r="D11240">
        <v>345749</v>
      </c>
    </row>
    <row r="11241" spans="1:4" x14ac:dyDescent="0.25">
      <c r="A11241" t="str">
        <f>T("   870431")</f>
        <v xml:space="preserve">   870431</v>
      </c>
      <c r="B11241" t="s">
        <v>489</v>
      </c>
      <c r="C11241">
        <v>120188646</v>
      </c>
      <c r="D11241">
        <v>67276</v>
      </c>
    </row>
    <row r="11242" spans="1:4" x14ac:dyDescent="0.25">
      <c r="A11242" t="str">
        <f>T("   870490")</f>
        <v xml:space="preserve">   870490</v>
      </c>
      <c r="B11242" t="str">
        <f>T("   Véhicules automobiles pour le transport de marchandises à moteur autre qu'à piston à allumage par étincelles ou moteur diesel ou semi-diesel (sauf tombereaux automoteurs du n° 8704.10, véhicules automobiles à usages spéciaux du n° 8705)")</f>
        <v xml:space="preserve">   Véhicules automobiles pour le transport de marchandises à moteur autre qu'à piston à allumage par étincelles ou moteur diesel ou semi-diesel (sauf tombereaux automoteurs du n° 8704.10, véhicules automobiles à usages spéciaux du n° 8705)</v>
      </c>
      <c r="C11242">
        <v>21019628</v>
      </c>
      <c r="D11242">
        <v>4112</v>
      </c>
    </row>
    <row r="11243" spans="1:4" x14ac:dyDescent="0.25">
      <c r="A11243" t="str">
        <f>T("   870510")</f>
        <v xml:space="preserve">   870510</v>
      </c>
      <c r="B11243" t="str">
        <f>T("   Camions-grues (sauf dépanneuses)")</f>
        <v xml:space="preserve">   Camions-grues (sauf dépanneuses)</v>
      </c>
      <c r="C11243">
        <v>66919374</v>
      </c>
      <c r="D11243">
        <v>36287</v>
      </c>
    </row>
    <row r="11244" spans="1:4" x14ac:dyDescent="0.25">
      <c r="A11244" t="str">
        <f>T("   870590")</f>
        <v xml:space="preserve">   870590</v>
      </c>
      <c r="B11244" t="s">
        <v>491</v>
      </c>
      <c r="C11244">
        <v>243963466</v>
      </c>
      <c r="D11244">
        <v>98920</v>
      </c>
    </row>
    <row r="11245" spans="1:4" x14ac:dyDescent="0.25">
      <c r="A11245" t="str">
        <f>T("   870829")</f>
        <v xml:space="preserve">   870829</v>
      </c>
      <c r="B11245" t="s">
        <v>493</v>
      </c>
      <c r="C11245">
        <v>332141192</v>
      </c>
      <c r="D11245">
        <v>204288</v>
      </c>
    </row>
    <row r="11246" spans="1:4" x14ac:dyDescent="0.25">
      <c r="A11246" t="str">
        <f>T("   870840")</f>
        <v xml:space="preserve">   870840</v>
      </c>
      <c r="B11246" t="str">
        <f>T("   BOÎTES DE VITESSE ET LEURS PARTIES, POUR TRACTEURS, VÉHICULES POUR LE TRANSPORT DE &gt;= 10 PERSONNES, CHAUFFEUR INCLUS, VOITURES DE TOURISME, VÉHICULES POUR LE TRANSPORT DE MARCHANDISES ET VÉHICULES À USAGES SPÉCIAUX, N.D.A.")</f>
        <v xml:space="preserve">   BOÎTES DE VITESSE ET LEURS PARTIES, POUR TRACTEURS, VÉHICULES POUR LE TRANSPORT DE &gt;= 10 PERSONNES, CHAUFFEUR INCLUS, VOITURES DE TOURISME, VÉHICULES POUR LE TRANSPORT DE MARCHANDISES ET VÉHICULES À USAGES SPÉCIAUX, N.D.A.</v>
      </c>
      <c r="C11246">
        <v>50183</v>
      </c>
      <c r="D11246">
        <v>10</v>
      </c>
    </row>
    <row r="11247" spans="1:4" x14ac:dyDescent="0.25">
      <c r="A11247" t="str">
        <f>T("   870860")</f>
        <v xml:space="preserve">   870860</v>
      </c>
      <c r="B11247" t="str">
        <f>T("   ESSIEUX PORTEURS ET LEURS PARTIES, POUR TRACTEURS, VÉHICULES POUR LE TRANSPORT DE &gt;= 10 PERSONNES, CHAUFFEUR INCLUS, VOITURES DE TOURISME, VÉHICULES POUR LE TRANSPORT DE MARCHANDISES ET VÉHICULES À USAGES SPÉCIAUX N.D.A.")</f>
        <v xml:space="preserve">   ESSIEUX PORTEURS ET LEURS PARTIES, POUR TRACTEURS, VÉHICULES POUR LE TRANSPORT DE &gt;= 10 PERSONNES, CHAUFFEUR INCLUS, VOITURES DE TOURISME, VÉHICULES POUR LE TRANSPORT DE MARCHANDISES ET VÉHICULES À USAGES SPÉCIAUX N.D.A.</v>
      </c>
      <c r="C11247">
        <v>3500000</v>
      </c>
      <c r="D11247">
        <v>3200</v>
      </c>
    </row>
    <row r="11248" spans="1:4" x14ac:dyDescent="0.25">
      <c r="A11248" t="str">
        <f>T("   870870")</f>
        <v xml:space="preserve">   870870</v>
      </c>
      <c r="B11248" t="str">
        <f>T("   ROUES, LEURS PARTIES ET ACCESSOIRES POUR TRACTEURS, VÉHICULES POUR LE TRANSPORT DE &gt;= 10 PERSONNES, CHAUFFEUR INCLUS, VOITURES DE TOURISME, VÉHICULES POUR LE TRANSPORT DE MARCHANDISES ET VÉHICULES À USAGES SPÉCIAUX, N.D.A.")</f>
        <v xml:space="preserve">   ROUES, LEURS PARTIES ET ACCESSOIRES POUR TRACTEURS, VÉHICULES POUR LE TRANSPORT DE &gt;= 10 PERSONNES, CHAUFFEUR INCLUS, VOITURES DE TOURISME, VÉHICULES POUR LE TRANSPORT DE MARCHANDISES ET VÉHICULES À USAGES SPÉCIAUX, N.D.A.</v>
      </c>
      <c r="C11248">
        <v>400117</v>
      </c>
      <c r="D11248">
        <v>80</v>
      </c>
    </row>
    <row r="11249" spans="1:4" x14ac:dyDescent="0.25">
      <c r="A11249" t="str">
        <f>T("   870891")</f>
        <v xml:space="preserve">   870891</v>
      </c>
      <c r="B11249" t="str">
        <f>T("   RADIATEURS ET LEURS PARTIES, POUR TRACTEURS, VÉHICULES POUR LE TRANSPORT DE &gt;= 10 PERSONNES, CHAUFFEUR INCLUS, VOITURES DE TOURISME, VÉHICULES POUR LE TRANSPORT DE MARCHANDISES ET VÉHICULES À USAGES SPÉCIAUX, N.D.A.")</f>
        <v xml:space="preserve">   RADIATEURS ET LEURS PARTIES, POUR TRACTEURS, VÉHICULES POUR LE TRANSPORT DE &gt;= 10 PERSONNES, CHAUFFEUR INCLUS, VOITURES DE TOURISME, VÉHICULES POUR LE TRANSPORT DE MARCHANDISES ET VÉHICULES À USAGES SPÉCIAUX, N.D.A.</v>
      </c>
      <c r="C11249">
        <v>89867</v>
      </c>
      <c r="D11249">
        <v>7</v>
      </c>
    </row>
    <row r="11250" spans="1:4" x14ac:dyDescent="0.25">
      <c r="A11250" t="str">
        <f>T("   870899")</f>
        <v xml:space="preserve">   870899</v>
      </c>
      <c r="B11250"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11250">
        <v>79363275</v>
      </c>
      <c r="D11250">
        <v>36115.599999999999</v>
      </c>
    </row>
    <row r="11251" spans="1:4" x14ac:dyDescent="0.25">
      <c r="A11251" t="str">
        <f>T("   870990")</f>
        <v xml:space="preserve">   870990</v>
      </c>
      <c r="B11251" t="str">
        <f>T("   Parties de chariots automobiles non munis d'un dispositif de levage, des types utilisés pour le transport des marchandises sur de courtes distances, y.c. les chariots-tracteurs des types utilisés dans les gares, n.d.a.")</f>
        <v xml:space="preserve">   Parties de chariots automobiles non munis d'un dispositif de levage, des types utilisés pour le transport des marchandises sur de courtes distances, y.c. les chariots-tracteurs des types utilisés dans les gares, n.d.a.</v>
      </c>
      <c r="C11251">
        <v>2396750</v>
      </c>
      <c r="D11251">
        <v>31660</v>
      </c>
    </row>
    <row r="11252" spans="1:4" x14ac:dyDescent="0.25">
      <c r="A11252" t="str">
        <f>T("   871140")</f>
        <v xml:space="preserve">   871140</v>
      </c>
      <c r="B11252" t="str">
        <f>T("   Motocycles à moteur à piston alternatif, cylindrée &gt; 500 cm³ mais &lt;= 800 cm³")</f>
        <v xml:space="preserve">   Motocycles à moteur à piston alternatif, cylindrée &gt; 500 cm³ mais &lt;= 800 cm³</v>
      </c>
      <c r="C11252">
        <v>9821486</v>
      </c>
      <c r="D11252">
        <v>2188</v>
      </c>
    </row>
    <row r="11253" spans="1:4" x14ac:dyDescent="0.25">
      <c r="A11253" t="str">
        <f>T("   871200")</f>
        <v xml:space="preserve">   871200</v>
      </c>
      <c r="B11253" t="str">
        <f>T("   BICYCLETTES ET AUTRES CYCLES, -Y.C. LES TRIPORTEURS-, SANS MOTEUR")</f>
        <v xml:space="preserve">   BICYCLETTES ET AUTRES CYCLES, -Y.C. LES TRIPORTEURS-, SANS MOTEUR</v>
      </c>
      <c r="C11253">
        <v>4436086</v>
      </c>
      <c r="D11253">
        <v>15013</v>
      </c>
    </row>
    <row r="11254" spans="1:4" x14ac:dyDescent="0.25">
      <c r="A11254" t="str">
        <f>T("   871500")</f>
        <v xml:space="preserve">   871500</v>
      </c>
      <c r="B11254" t="str">
        <f>T("   Landaus, poussettes et voitures simil., pour le transport des enfants, et leurs parties, n.d.a.")</f>
        <v xml:space="preserve">   Landaus, poussettes et voitures simil., pour le transport des enfants, et leurs parties, n.d.a.</v>
      </c>
      <c r="C11254">
        <v>628706</v>
      </c>
      <c r="D11254">
        <v>1684</v>
      </c>
    </row>
    <row r="11255" spans="1:4" x14ac:dyDescent="0.25">
      <c r="A11255" t="str">
        <f>T("   871640")</f>
        <v xml:space="preserve">   871640</v>
      </c>
      <c r="B11255"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11255">
        <v>126466101</v>
      </c>
      <c r="D11255">
        <v>80702</v>
      </c>
    </row>
    <row r="11256" spans="1:4" x14ac:dyDescent="0.25">
      <c r="A11256" t="str">
        <f>T("   890190")</f>
        <v xml:space="preserve">   890190</v>
      </c>
      <c r="B11256" t="str">
        <f>T("   Cargos et bateaux pour le transport de personnes et de marchandises (autres que bateaux frigorifiques, bateaux-citernes, cargos et bateaux destinés essentiellement au transport des personnes)")</f>
        <v xml:space="preserve">   Cargos et bateaux pour le transport de personnes et de marchandises (autres que bateaux frigorifiques, bateaux-citernes, cargos et bateaux destinés essentiellement au transport des personnes)</v>
      </c>
      <c r="C11256">
        <v>429275</v>
      </c>
      <c r="D11256">
        <v>900</v>
      </c>
    </row>
    <row r="11257" spans="1:4" x14ac:dyDescent="0.25">
      <c r="A11257" t="str">
        <f>T("   890399")</f>
        <v xml:space="preserve">   890399</v>
      </c>
      <c r="B11257" t="str">
        <f>T("   Bateaux, de plaisance ou de sport (sauf bateaux à moteur autre qu' à moteur hors-bord, bateaux à voile, même avec moteur auxiliaire, et bateaux gonflables); bateaux à rames et canoës")</f>
        <v xml:space="preserve">   Bateaux, de plaisance ou de sport (sauf bateaux à moteur autre qu' à moteur hors-bord, bateaux à voile, même avec moteur auxiliaire, et bateaux gonflables); bateaux à rames et canoës</v>
      </c>
      <c r="C11257">
        <v>28878647</v>
      </c>
      <c r="D11257">
        <v>9838</v>
      </c>
    </row>
    <row r="11258" spans="1:4" x14ac:dyDescent="0.25">
      <c r="A11258" t="str">
        <f>T("   890790")</f>
        <v xml:space="preserve">   890790</v>
      </c>
      <c r="B11258" t="str">
        <f>T("   Engins flottants, p.ex. réservoirs, caissons, coffres d'amarrage, bouées et balises (sauf radeaux gonflables, bateaux du n° 8901 à 8906 et engins flottants à dépecer)")</f>
        <v xml:space="preserve">   Engins flottants, p.ex. réservoirs, caissons, coffres d'amarrage, bouées et balises (sauf radeaux gonflables, bateaux du n° 8901 à 8906 et engins flottants à dépecer)</v>
      </c>
      <c r="C11258">
        <v>1342180</v>
      </c>
      <c r="D11258">
        <v>367</v>
      </c>
    </row>
    <row r="11259" spans="1:4" x14ac:dyDescent="0.25">
      <c r="A11259" t="str">
        <f>T("   900691")</f>
        <v xml:space="preserve">   900691</v>
      </c>
      <c r="B11259" t="str">
        <f>T("   Parties et accessoires d'appareils photographiques, n.d.a.")</f>
        <v xml:space="preserve">   Parties et accessoires d'appareils photographiques, n.d.a.</v>
      </c>
      <c r="C11259">
        <v>6350000</v>
      </c>
      <c r="D11259">
        <v>8340</v>
      </c>
    </row>
    <row r="11260" spans="1:4" x14ac:dyDescent="0.25">
      <c r="A11260" t="str">
        <f>T("   900921")</f>
        <v xml:space="preserve">   900921</v>
      </c>
      <c r="B11260" t="str">
        <f>T("   Appareils de photocopie à système optique (autres qu'électrostatiques)")</f>
        <v xml:space="preserve">   Appareils de photocopie à système optique (autres qu'électrostatiques)</v>
      </c>
      <c r="C11260">
        <v>426622</v>
      </c>
      <c r="D11260">
        <v>700</v>
      </c>
    </row>
    <row r="11261" spans="1:4" x14ac:dyDescent="0.25">
      <c r="A11261" t="str">
        <f>T("   901580")</f>
        <v xml:space="preserve">   901580</v>
      </c>
      <c r="B11261" t="s">
        <v>501</v>
      </c>
      <c r="C11261">
        <v>14334748</v>
      </c>
      <c r="D11261">
        <v>50</v>
      </c>
    </row>
    <row r="11262" spans="1:4" x14ac:dyDescent="0.25">
      <c r="A11262" t="str">
        <f>T("   901780")</f>
        <v xml:space="preserve">   901780</v>
      </c>
      <c r="B11262" t="str">
        <f>T("   Instruments de mesure de longueurs, pour emploi à la main, n.d.a.")</f>
        <v xml:space="preserve">   Instruments de mesure de longueurs, pour emploi à la main, n.d.a.</v>
      </c>
      <c r="C11262">
        <v>323082</v>
      </c>
      <c r="D11262">
        <v>14</v>
      </c>
    </row>
    <row r="11263" spans="1:4" x14ac:dyDescent="0.25">
      <c r="A11263" t="str">
        <f>T("   901839")</f>
        <v xml:space="preserve">   901839</v>
      </c>
      <c r="B11263" t="str">
        <f>T("   AIGUILLES, CTHEÉTERS, CANULES ET SIMIL. POUR LA MÉDECINE (SAUF SERINGUES, AIGUILLES TUBULAIRES EN MÉTAL ET AIGUILLES À SUTURES)")</f>
        <v xml:space="preserve">   AIGUILLES, CTHEÉTERS, CANULES ET SIMIL. POUR LA MÉDECINE (SAUF SERINGUES, AIGUILLES TUBULAIRES EN MÉTAL ET AIGUILLES À SUTURES)</v>
      </c>
      <c r="C11263">
        <v>1224828</v>
      </c>
      <c r="D11263">
        <v>220</v>
      </c>
    </row>
    <row r="11264" spans="1:4" x14ac:dyDescent="0.25">
      <c r="A11264" t="str">
        <f>T("   901850")</f>
        <v xml:space="preserve">   901850</v>
      </c>
      <c r="B11264" t="str">
        <f>T("   Instruments et appareils d'ophtalmologie, n.d.a.")</f>
        <v xml:space="preserve">   Instruments et appareils d'ophtalmologie, n.d.a.</v>
      </c>
      <c r="C11264">
        <v>10433053</v>
      </c>
      <c r="D11264">
        <v>416</v>
      </c>
    </row>
    <row r="11265" spans="1:4" x14ac:dyDescent="0.25">
      <c r="A11265" t="str">
        <f>T("   901890")</f>
        <v xml:space="preserve">   901890</v>
      </c>
      <c r="B11265" t="str">
        <f>T("   Instruments et appareils pour la médecine, la chirurgie ou l'art vétérinaire, n.d.a.")</f>
        <v xml:space="preserve">   Instruments et appareils pour la médecine, la chirurgie ou l'art vétérinaire, n.d.a.</v>
      </c>
      <c r="C11265">
        <v>5105433</v>
      </c>
      <c r="D11265">
        <v>366.1</v>
      </c>
    </row>
    <row r="11266" spans="1:4" x14ac:dyDescent="0.25">
      <c r="A11266" t="str">
        <f>T("   902480")</f>
        <v xml:space="preserve">   902480</v>
      </c>
      <c r="B11266" t="str">
        <f>T("   Machines et appareils d'essais des propriétés mécaniques des matériaux (autres que les métaux)")</f>
        <v xml:space="preserve">   Machines et appareils d'essais des propriétés mécaniques des matériaux (autres que les métaux)</v>
      </c>
      <c r="C11266">
        <v>714283</v>
      </c>
      <c r="D11266">
        <v>5</v>
      </c>
    </row>
    <row r="11267" spans="1:4" x14ac:dyDescent="0.25">
      <c r="A11267" t="str">
        <f>T("   902580")</f>
        <v xml:space="preserve">   902580</v>
      </c>
      <c r="B11267" t="s">
        <v>505</v>
      </c>
      <c r="C11267">
        <v>36734</v>
      </c>
      <c r="D11267">
        <v>1</v>
      </c>
    </row>
    <row r="11268" spans="1:4" x14ac:dyDescent="0.25">
      <c r="A11268" t="str">
        <f>T("   902610")</f>
        <v xml:space="preserve">   902610</v>
      </c>
      <c r="B11268" t="str">
        <f>T("   Instruments et appareils pour la mesure ou le contrôle du débit ou du niveau des liquides (à l'excl. des compteurs et des instruments et appareils pour la régulation ou le contrôle automatiques)")</f>
        <v xml:space="preserve">   Instruments et appareils pour la mesure ou le contrôle du débit ou du niveau des liquides (à l'excl. des compteurs et des instruments et appareils pour la régulation ou le contrôle automatiques)</v>
      </c>
      <c r="C11268">
        <v>259020</v>
      </c>
      <c r="D11268">
        <v>7.5</v>
      </c>
    </row>
    <row r="11269" spans="1:4" x14ac:dyDescent="0.25">
      <c r="A11269" t="str">
        <f>T("   902620")</f>
        <v xml:space="preserve">   902620</v>
      </c>
      <c r="B11269" t="str">
        <f>T("   Instruments et appareils pour la mesure ou le contrôle de la pression des liquides ou des gaz (à l'excl. des instruments et appareils pour la régulation ou le contrôle automatiques)")</f>
        <v xml:space="preserve">   Instruments et appareils pour la mesure ou le contrôle de la pression des liquides ou des gaz (à l'excl. des instruments et appareils pour la régulation ou le contrôle automatiques)</v>
      </c>
      <c r="C11269">
        <v>618549</v>
      </c>
      <c r="D11269">
        <v>11</v>
      </c>
    </row>
    <row r="11270" spans="1:4" x14ac:dyDescent="0.25">
      <c r="A11270" t="str">
        <f>T("   902680")</f>
        <v xml:space="preserve">   902680</v>
      </c>
      <c r="B11270" t="str">
        <f>T("   Instruments et appareils pour la mesure et le contrôle des caractéristiques variables des liquides ou des gaz, n.d.a.")</f>
        <v xml:space="preserve">   Instruments et appareils pour la mesure et le contrôle des caractéristiques variables des liquides ou des gaz, n.d.a.</v>
      </c>
      <c r="C11270">
        <v>1609573</v>
      </c>
      <c r="D11270">
        <v>49</v>
      </c>
    </row>
    <row r="11271" spans="1:4" x14ac:dyDescent="0.25">
      <c r="A11271" t="str">
        <f>T("   902690")</f>
        <v xml:space="preserve">   902690</v>
      </c>
      <c r="B11271" t="str">
        <f>T("   Parties et accessoires des instruments et appareils pour la mesure ou le contrôle du débit, du niveau, de la pression ou d'autres caractéristiques variables des liquides ou des gaz, n.d.a.")</f>
        <v xml:space="preserve">   Parties et accessoires des instruments et appareils pour la mesure ou le contrôle du débit, du niveau, de la pression ou d'autres caractéristiques variables des liquides ou des gaz, n.d.a.</v>
      </c>
      <c r="C11271">
        <v>504304</v>
      </c>
      <c r="D11271">
        <v>151.5</v>
      </c>
    </row>
    <row r="11272" spans="1:4" x14ac:dyDescent="0.25">
      <c r="A11272" t="str">
        <f>T("   902910")</f>
        <v xml:space="preserve">   902910</v>
      </c>
      <c r="B11272" t="str">
        <f>T("   Compteurs de tours, compteurs de production, taximètres, totalisateurs de chemin parcouru, podomètres et compteurs simil. (à l'excl. des compteurs de gaz, de liquides et d'électricité)")</f>
        <v xml:space="preserve">   Compteurs de tours, compteurs de production, taximètres, totalisateurs de chemin parcouru, podomètres et compteurs simil. (à l'excl. des compteurs de gaz, de liquides et d'électricité)</v>
      </c>
      <c r="C11272">
        <v>2346760</v>
      </c>
      <c r="D11272">
        <v>62</v>
      </c>
    </row>
    <row r="11273" spans="1:4" x14ac:dyDescent="0.25">
      <c r="A11273" t="str">
        <f>T("   903289")</f>
        <v xml:space="preserve">   903289</v>
      </c>
      <c r="B11273" t="s">
        <v>508</v>
      </c>
      <c r="C11273">
        <v>32798</v>
      </c>
      <c r="D11273">
        <v>1</v>
      </c>
    </row>
    <row r="11274" spans="1:4" x14ac:dyDescent="0.25">
      <c r="A11274" t="str">
        <f>T("   911390")</f>
        <v xml:space="preserve">   911390</v>
      </c>
      <c r="B11274" t="str">
        <f>T("   Bracelets de montres et leurs parties, n.d.a.")</f>
        <v xml:space="preserve">   Bracelets de montres et leurs parties, n.d.a.</v>
      </c>
      <c r="C11274">
        <v>163746</v>
      </c>
      <c r="D11274">
        <v>900</v>
      </c>
    </row>
    <row r="11275" spans="1:4" x14ac:dyDescent="0.25">
      <c r="A11275" t="str">
        <f>T("   930330")</f>
        <v xml:space="preserve">   930330</v>
      </c>
      <c r="B11275" t="s">
        <v>512</v>
      </c>
      <c r="C11275">
        <v>200000</v>
      </c>
      <c r="D11275">
        <v>6</v>
      </c>
    </row>
    <row r="11276" spans="1:4" x14ac:dyDescent="0.25">
      <c r="A11276" t="str">
        <f>T("   940169")</f>
        <v xml:space="preserve">   940169</v>
      </c>
      <c r="B11276" t="str">
        <f>T("   Sièges, avec bâti en bois, non rembourrés")</f>
        <v xml:space="preserve">   Sièges, avec bâti en bois, non rembourrés</v>
      </c>
      <c r="C11276">
        <v>1821051</v>
      </c>
      <c r="D11276">
        <v>405</v>
      </c>
    </row>
    <row r="11277" spans="1:4" x14ac:dyDescent="0.25">
      <c r="A11277" t="str">
        <f>T("   940179")</f>
        <v xml:space="preserve">   940179</v>
      </c>
      <c r="B11277" t="str">
        <f>T("   Sièges, avec bâti en métal non rembourrés (autres que fauteuils pivotants ajustables en hauteur et autres que pour la médecine, l'art dentaire ou la chirurgie)")</f>
        <v xml:space="preserve">   Sièges, avec bâti en métal non rembourrés (autres que fauteuils pivotants ajustables en hauteur et autres que pour la médecine, l'art dentaire ou la chirurgie)</v>
      </c>
      <c r="C11277">
        <v>1329564</v>
      </c>
      <c r="D11277">
        <v>907</v>
      </c>
    </row>
    <row r="11278" spans="1:4" x14ac:dyDescent="0.25">
      <c r="A11278" t="str">
        <f>T("   940180")</f>
        <v xml:space="preserve">   940180</v>
      </c>
      <c r="B11278" t="str">
        <f>T("   Sièges, n.d.a.")</f>
        <v xml:space="preserve">   Sièges, n.d.a.</v>
      </c>
      <c r="C11278">
        <v>50000</v>
      </c>
      <c r="D11278">
        <v>198</v>
      </c>
    </row>
    <row r="11279" spans="1:4" x14ac:dyDescent="0.25">
      <c r="A11279" t="str">
        <f>T("   940320")</f>
        <v xml:space="preserve">   940320</v>
      </c>
      <c r="B11279"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11279">
        <v>2540555</v>
      </c>
      <c r="D11279">
        <v>3356</v>
      </c>
    </row>
    <row r="11280" spans="1:4" x14ac:dyDescent="0.25">
      <c r="A11280" t="str">
        <f>T("   940330")</f>
        <v xml:space="preserve">   940330</v>
      </c>
      <c r="B11280" t="str">
        <f>T("   Meubles de bureau en bois (sauf sièges)")</f>
        <v xml:space="preserve">   Meubles de bureau en bois (sauf sièges)</v>
      </c>
      <c r="C11280">
        <v>1442329</v>
      </c>
      <c r="D11280">
        <v>3254</v>
      </c>
    </row>
    <row r="11281" spans="1:4" x14ac:dyDescent="0.25">
      <c r="A11281" t="str">
        <f>T("   940350")</f>
        <v xml:space="preserve">   940350</v>
      </c>
      <c r="B11281" t="str">
        <f>T("   Meubles pour chambres à coucher, en bois (sauf sièges)")</f>
        <v xml:space="preserve">   Meubles pour chambres à coucher, en bois (sauf sièges)</v>
      </c>
      <c r="C11281">
        <v>2200000</v>
      </c>
      <c r="D11281">
        <v>4400</v>
      </c>
    </row>
    <row r="11282" spans="1:4" x14ac:dyDescent="0.25">
      <c r="A11282" t="str">
        <f>T("   940360")</f>
        <v xml:space="preserve">   940360</v>
      </c>
      <c r="B11282" t="str">
        <f>T("   Meubles en bois (autres que pour bureaux, cuisines ou chambres à coucher et autres que sièges)")</f>
        <v xml:space="preserve">   Meubles en bois (autres que pour bureaux, cuisines ou chambres à coucher et autres que sièges)</v>
      </c>
      <c r="C11282">
        <v>399107</v>
      </c>
      <c r="D11282">
        <v>2075</v>
      </c>
    </row>
    <row r="11283" spans="1:4" x14ac:dyDescent="0.25">
      <c r="A11283" t="str">
        <f>T("   940380")</f>
        <v xml:space="preserve">   940380</v>
      </c>
      <c r="B11283" t="str">
        <f>T("   Meubles en rotin, osier, bambou ou autres matières (sauf métal, bois et matières plastiques)")</f>
        <v xml:space="preserve">   Meubles en rotin, osier, bambou ou autres matières (sauf métal, bois et matières plastiques)</v>
      </c>
      <c r="C11283">
        <v>25678493</v>
      </c>
      <c r="D11283">
        <v>36234</v>
      </c>
    </row>
    <row r="11284" spans="1:4" x14ac:dyDescent="0.25">
      <c r="A11284" t="str">
        <f>T("   940429")</f>
        <v xml:space="preserve">   940429</v>
      </c>
      <c r="B11284" t="str">
        <f>T("   Matelas à ressorts ou rembourrés, ou garnis intérieurement de matières autres que le caoutchouc alvéolaire ou les matières plastiques alvéolaires (sauf matelas à eau, matelas pneumatiques et oreillers)")</f>
        <v xml:space="preserve">   Matelas à ressorts ou rembourrés, ou garnis intérieurement de matières autres que le caoutchouc alvéolaire ou les matières plastiques alvéolaires (sauf matelas à eau, matelas pneumatiques et oreillers)</v>
      </c>
      <c r="C11284">
        <v>279389</v>
      </c>
      <c r="D11284">
        <v>1375</v>
      </c>
    </row>
    <row r="11285" spans="1:4" x14ac:dyDescent="0.25">
      <c r="A11285" t="str">
        <f>T("   940490")</f>
        <v xml:space="preserve">   940490</v>
      </c>
      <c r="B11285" t="s">
        <v>514</v>
      </c>
      <c r="C11285">
        <v>500000</v>
      </c>
      <c r="D11285">
        <v>51</v>
      </c>
    </row>
    <row r="11286" spans="1:4" x14ac:dyDescent="0.25">
      <c r="A11286" t="str">
        <f>T("   940540")</f>
        <v xml:space="preserve">   940540</v>
      </c>
      <c r="B11286" t="str">
        <f>T("   Appareils d'éclairage électrique, n.d.a.")</f>
        <v xml:space="preserve">   Appareils d'éclairage électrique, n.d.a.</v>
      </c>
      <c r="C11286">
        <v>599188</v>
      </c>
      <c r="D11286">
        <v>794</v>
      </c>
    </row>
    <row r="11287" spans="1:4" x14ac:dyDescent="0.25">
      <c r="A11287" t="str">
        <f>T("   940560")</f>
        <v xml:space="preserve">   940560</v>
      </c>
      <c r="B11287" t="str">
        <f>T("   Lampes-réclames, enseignes lumineuses, plaques indicatrices lumineuses et articles simil., possédant une source d'éclairage fixée à demeure")</f>
        <v xml:space="preserve">   Lampes-réclames, enseignes lumineuses, plaques indicatrices lumineuses et articles simil., possédant une source d'éclairage fixée à demeure</v>
      </c>
      <c r="C11287">
        <v>1205282</v>
      </c>
      <c r="D11287">
        <v>522</v>
      </c>
    </row>
    <row r="11288" spans="1:4" x14ac:dyDescent="0.25">
      <c r="A11288" t="str">
        <f>T("   950390")</f>
        <v xml:space="preserve">   950390</v>
      </c>
      <c r="B11288" t="str">
        <f>T("   Jouets, n.d.a.")</f>
        <v xml:space="preserve">   Jouets, n.d.a.</v>
      </c>
      <c r="C11288">
        <v>9201298</v>
      </c>
      <c r="D11288">
        <v>8364</v>
      </c>
    </row>
    <row r="11289" spans="1:4" x14ac:dyDescent="0.25">
      <c r="A11289" t="str">
        <f>T("   950420")</f>
        <v xml:space="preserve">   950420</v>
      </c>
      <c r="B11289" t="str">
        <f>T("   BILLARDS DE TOUT GENRE ET LEURS ACCESSOIRES")</f>
        <v xml:space="preserve">   BILLARDS DE TOUT GENRE ET LEURS ACCESSOIRES</v>
      </c>
      <c r="C11289">
        <v>221856</v>
      </c>
      <c r="D11289">
        <v>5</v>
      </c>
    </row>
    <row r="11290" spans="1:4" x14ac:dyDescent="0.25">
      <c r="A11290" t="str">
        <f>T("   950430")</f>
        <v xml:space="preserve">   950430</v>
      </c>
      <c r="B11290" t="s">
        <v>515</v>
      </c>
      <c r="C11290">
        <v>6169565</v>
      </c>
      <c r="D11290">
        <v>40</v>
      </c>
    </row>
    <row r="11291" spans="1:4" x14ac:dyDescent="0.25">
      <c r="A11291" t="str">
        <f>T("   950619")</f>
        <v xml:space="preserve">   950619</v>
      </c>
      <c r="B11291" t="str">
        <f>T("   MATÉRIEL POUR LA PRATIQUE DU SKI DE NEIGE (À L'EXCL. DES SKIS ET DES FIXATIONS POUR SKIS) [01/01/1988-31/12/1994: MATERIEL POUR LA PRATIQUE DU SKI DE NEIGE, (SAUF SKIS ET FIXATIONS)]")</f>
        <v xml:space="preserve">   MATÉRIEL POUR LA PRATIQUE DU SKI DE NEIGE (À L'EXCL. DES SKIS ET DES FIXATIONS POUR SKIS) [01/01/1988-31/12/1994: MATERIEL POUR LA PRATIQUE DU SKI DE NEIGE, (SAUF SKIS ET FIXATIONS)]</v>
      </c>
      <c r="C11291">
        <v>50000</v>
      </c>
      <c r="D11291">
        <v>150</v>
      </c>
    </row>
    <row r="11292" spans="1:4" x14ac:dyDescent="0.25">
      <c r="A11292" t="str">
        <f>T("   950659")</f>
        <v xml:space="preserve">   950659</v>
      </c>
      <c r="B11292" t="str">
        <f>T("   RAQUETTES DE BADMINTON OU SIMIL., MÊME NON CORDÉES (À L'EXCL. DES RAQUETTES DE TENNIS ET DE TENNIS DE TABLE) [01/01/1988-31/12/1994: RAQUETTES DE BADMINTON OU SIMILAIRES, CORDEES OU NON ( SAUF RAQUETTES DE TENNIS ET DE TENNIS DE TABLE)]")</f>
        <v xml:space="preserve">   RAQUETTES DE BADMINTON OU SIMIL., MÊME NON CORDÉES (À L'EXCL. DES RAQUETTES DE TENNIS ET DE TENNIS DE TABLE) [01/01/1988-31/12/1994: RAQUETTES DE BADMINTON OU SIMILAIRES, CORDEES OU NON ( SAUF RAQUETTES DE TENNIS ET DE TENNIS DE TABLE)]</v>
      </c>
      <c r="C11292">
        <v>61175</v>
      </c>
      <c r="D11292">
        <v>28</v>
      </c>
    </row>
    <row r="11293" spans="1:4" x14ac:dyDescent="0.25">
      <c r="A11293" t="str">
        <f>T("   960839")</f>
        <v xml:space="preserve">   960839</v>
      </c>
      <c r="B11293" t="str">
        <f>T("   Stylos à plume et autres stylos (autres qu'à dessiner à l'encre de Chine)")</f>
        <v xml:space="preserve">   Stylos à plume et autres stylos (autres qu'à dessiner à l'encre de Chine)</v>
      </c>
      <c r="C11293">
        <v>322603</v>
      </c>
      <c r="D11293">
        <v>60</v>
      </c>
    </row>
    <row r="11294" spans="1:4" x14ac:dyDescent="0.25">
      <c r="A11294" t="str">
        <f>T("   961310")</f>
        <v xml:space="preserve">   961310</v>
      </c>
      <c r="B11294" t="str">
        <f>T("   Briquets de poche, à gaz (non rechargeables)")</f>
        <v xml:space="preserve">   Briquets de poche, à gaz (non rechargeables)</v>
      </c>
      <c r="C11294">
        <v>272985</v>
      </c>
      <c r="D11294">
        <v>500</v>
      </c>
    </row>
    <row r="11295" spans="1:4" x14ac:dyDescent="0.25">
      <c r="A11295" t="str">
        <f>T("   961700")</f>
        <v xml:space="preserve">   961700</v>
      </c>
      <c r="B11295" t="str">
        <f>T("   Bouteilles isolantes et autres récipients isothermiques montés, dont l'isolation est assurée par le vide, ainsi que leurs parties (à l'excl. des ampoules en verre)")</f>
        <v xml:space="preserve">   Bouteilles isolantes et autres récipients isothermiques montés, dont l'isolation est assurée par le vide, ainsi que leurs parties (à l'excl. des ampoules en verre)</v>
      </c>
      <c r="C11295">
        <v>50332</v>
      </c>
      <c r="D11295">
        <v>331</v>
      </c>
    </row>
    <row r="11296" spans="1:4" x14ac:dyDescent="0.25">
      <c r="A11296" t="str">
        <f>T("UY")</f>
        <v>UY</v>
      </c>
      <c r="B11296" t="str">
        <f>T("Uruguay")</f>
        <v>Uruguay</v>
      </c>
    </row>
    <row r="11297" spans="1:4" x14ac:dyDescent="0.25">
      <c r="A11297" t="str">
        <f>T("   ZZ_Total_Produit_SH6")</f>
        <v xml:space="preserve">   ZZ_Total_Produit_SH6</v>
      </c>
      <c r="B11297" t="str">
        <f>T("   ZZ_Total_Produit_SH6")</f>
        <v xml:space="preserve">   ZZ_Total_Produit_SH6</v>
      </c>
      <c r="C11297">
        <v>88285919</v>
      </c>
      <c r="D11297">
        <v>272200</v>
      </c>
    </row>
    <row r="11298" spans="1:4" x14ac:dyDescent="0.25">
      <c r="A11298" t="str">
        <f>T("   030379")</f>
        <v xml:space="preserve">   030379</v>
      </c>
      <c r="B11298" t="s">
        <v>17</v>
      </c>
      <c r="C11298">
        <v>38432959</v>
      </c>
      <c r="D11298">
        <v>221520</v>
      </c>
    </row>
    <row r="11299" spans="1:4" x14ac:dyDescent="0.25">
      <c r="A11299" t="str">
        <f>T("   040221")</f>
        <v xml:space="preserve">   040221</v>
      </c>
      <c r="B11299" t="str">
        <f>T("   Lait et crème de lait, en poudre, en granulés ou sous d'autres formes solides, d'une teneur en poids de matières grasses &gt; 1,5%, sans addition de sucre ou d'autres édulcorants")</f>
        <v xml:space="preserve">   Lait et crème de lait, en poudre, en granulés ou sous d'autres formes solides, d'une teneur en poids de matières grasses &gt; 1,5%, sans addition de sucre ou d'autres édulcorants</v>
      </c>
      <c r="C11299">
        <v>49852960</v>
      </c>
      <c r="D11299">
        <v>50680</v>
      </c>
    </row>
    <row r="11300" spans="1:4" x14ac:dyDescent="0.25">
      <c r="A11300" t="str">
        <f>T("VA")</f>
        <v>VA</v>
      </c>
      <c r="B11300" t="str">
        <f>T("Vatican (Saint-Siège)")</f>
        <v>Vatican (Saint-Siège)</v>
      </c>
    </row>
    <row r="11301" spans="1:4" x14ac:dyDescent="0.25">
      <c r="A11301" t="str">
        <f>T("   ZZ_Total_Produit_SH6")</f>
        <v xml:space="preserve">   ZZ_Total_Produit_SH6</v>
      </c>
      <c r="B11301" t="str">
        <f>T("   ZZ_Total_Produit_SH6")</f>
        <v xml:space="preserve">   ZZ_Total_Produit_SH6</v>
      </c>
      <c r="C11301">
        <v>6367100</v>
      </c>
      <c r="D11301">
        <v>5170</v>
      </c>
    </row>
    <row r="11302" spans="1:4" x14ac:dyDescent="0.25">
      <c r="A11302" t="str">
        <f>T("   845899")</f>
        <v xml:space="preserve">   845899</v>
      </c>
      <c r="B11302" t="s">
        <v>428</v>
      </c>
      <c r="C11302">
        <v>2605000</v>
      </c>
      <c r="D11302">
        <v>1347</v>
      </c>
    </row>
    <row r="11303" spans="1:4" x14ac:dyDescent="0.25">
      <c r="A11303" t="str">
        <f>T("   846299")</f>
        <v xml:space="preserve">   846299</v>
      </c>
      <c r="B11303" t="str">
        <f>T("   Presses autres qu'hydrauliques pour le travail des métaux (à l'excl. des presses à forger, à rouler, à cintrer, dresser ou planer)")</f>
        <v xml:space="preserve">   Presses autres qu'hydrauliques pour le travail des métaux (à l'excl. des presses à forger, à rouler, à cintrer, dresser ou planer)</v>
      </c>
      <c r="C11303">
        <v>1155000</v>
      </c>
      <c r="D11303">
        <v>225</v>
      </c>
    </row>
    <row r="11304" spans="1:4" x14ac:dyDescent="0.25">
      <c r="A11304" t="str">
        <f>T("   847190")</f>
        <v xml:space="preserve">   847190</v>
      </c>
      <c r="B11304"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11304">
        <v>300553</v>
      </c>
      <c r="D11304">
        <v>674</v>
      </c>
    </row>
    <row r="11305" spans="1:4" x14ac:dyDescent="0.25">
      <c r="A11305" t="str">
        <f>T("   851580")</f>
        <v xml:space="preserve">   851580</v>
      </c>
      <c r="B11305" t="s">
        <v>455</v>
      </c>
      <c r="C11305">
        <v>1205000</v>
      </c>
      <c r="D11305">
        <v>451</v>
      </c>
    </row>
    <row r="11306" spans="1:4" x14ac:dyDescent="0.25">
      <c r="A11306" t="str">
        <f>T("   852812")</f>
        <v xml:space="preserve">   852812</v>
      </c>
      <c r="B11306"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11306">
        <v>500441</v>
      </c>
      <c r="D11306">
        <v>1123</v>
      </c>
    </row>
    <row r="11307" spans="1:4" x14ac:dyDescent="0.25">
      <c r="A11307" t="str">
        <f>T("   900911")</f>
        <v xml:space="preserve">   900911</v>
      </c>
      <c r="B11307" t="str">
        <f>T("   Appareils de photocopie électrostatiques, fonctionnant par reproduction directe de l'image de l'original sur la copie [procédé direct]")</f>
        <v xml:space="preserve">   Appareils de photocopie électrostatiques, fonctionnant par reproduction directe de l'image de l'original sur la copie [procédé direct]</v>
      </c>
      <c r="C11307">
        <v>100184</v>
      </c>
      <c r="D11307">
        <v>225</v>
      </c>
    </row>
    <row r="11308" spans="1:4" x14ac:dyDescent="0.25">
      <c r="A11308" t="str">
        <f>T("   940380")</f>
        <v xml:space="preserve">   940380</v>
      </c>
      <c r="B11308" t="str">
        <f>T("   Meubles en rotin, osier, bambou ou autres matières (sauf métal, bois et matières plastiques)")</f>
        <v xml:space="preserve">   Meubles en rotin, osier, bambou ou autres matières (sauf métal, bois et matières plastiques)</v>
      </c>
      <c r="C11308">
        <v>300553</v>
      </c>
      <c r="D11308">
        <v>674</v>
      </c>
    </row>
    <row r="11309" spans="1:4" x14ac:dyDescent="0.25">
      <c r="A11309" t="str">
        <f>T("   961700")</f>
        <v xml:space="preserve">   961700</v>
      </c>
      <c r="B11309" t="str">
        <f>T("   Bouteilles isolantes et autres récipients isothermiques montés, dont l'isolation est assurée par le vide, ainsi que leurs parties (à l'excl. des ampoules en verre)")</f>
        <v xml:space="preserve">   Bouteilles isolantes et autres récipients isothermiques montés, dont l'isolation est assurée par le vide, ainsi que leurs parties (à l'excl. des ampoules en verre)</v>
      </c>
      <c r="C11309">
        <v>200369</v>
      </c>
      <c r="D11309">
        <v>451</v>
      </c>
    </row>
    <row r="11310" spans="1:4" x14ac:dyDescent="0.25">
      <c r="A11310" t="str">
        <f>T("VE")</f>
        <v>VE</v>
      </c>
      <c r="B11310" t="str">
        <f>T("Venezuela")</f>
        <v>Venezuela</v>
      </c>
    </row>
    <row r="11311" spans="1:4" x14ac:dyDescent="0.25">
      <c r="A11311" t="str">
        <f>T("   ZZ_Total_Produit_SH6")</f>
        <v xml:space="preserve">   ZZ_Total_Produit_SH6</v>
      </c>
      <c r="B11311" t="str">
        <f>T("   ZZ_Total_Produit_SH6")</f>
        <v xml:space="preserve">   ZZ_Total_Produit_SH6</v>
      </c>
      <c r="C11311">
        <v>13347035</v>
      </c>
      <c r="D11311">
        <v>47170</v>
      </c>
    </row>
    <row r="11312" spans="1:4" x14ac:dyDescent="0.25">
      <c r="A11312" t="str">
        <f>T("   020736")</f>
        <v xml:space="preserve">   020736</v>
      </c>
      <c r="B11312" t="str">
        <f>T("   Morceaux et abats comestibles de canards, d'oies ou de pintades [des espèces domestiques], congelés (à l'excl. des foies gras)")</f>
        <v xml:space="preserve">   Morceaux et abats comestibles de canards, d'oies ou de pintades [des espèces domestiques], congelés (à l'excl. des foies gras)</v>
      </c>
      <c r="C11312">
        <v>7205721</v>
      </c>
      <c r="D11312">
        <v>28371</v>
      </c>
    </row>
    <row r="11313" spans="1:4" x14ac:dyDescent="0.25">
      <c r="A11313" t="str">
        <f>T("   271019")</f>
        <v xml:space="preserve">   271019</v>
      </c>
      <c r="B11313" t="str">
        <f>T("   Huiles moyennes et préparations, de pétrole ou de minéraux bitumineux, n.d.a.")</f>
        <v xml:space="preserve">   Huiles moyennes et préparations, de pétrole ou de minéraux bitumineux, n.d.a.</v>
      </c>
      <c r="C11313">
        <v>6141314</v>
      </c>
      <c r="D11313">
        <v>18799</v>
      </c>
    </row>
    <row r="11314" spans="1:4" x14ac:dyDescent="0.25">
      <c r="A11314" t="str">
        <f>T("VN")</f>
        <v>VN</v>
      </c>
      <c r="B11314" t="str">
        <f>T("Vietnam")</f>
        <v>Vietnam</v>
      </c>
    </row>
    <row r="11315" spans="1:4" x14ac:dyDescent="0.25">
      <c r="A11315" t="str">
        <f>T("   ZZ_Total_Produit_SH6")</f>
        <v xml:space="preserve">   ZZ_Total_Produit_SH6</v>
      </c>
      <c r="B11315" t="str">
        <f>T("   ZZ_Total_Produit_SH6")</f>
        <v xml:space="preserve">   ZZ_Total_Produit_SH6</v>
      </c>
      <c r="C11315">
        <v>3100414930.0219998</v>
      </c>
      <c r="D11315">
        <v>12963280</v>
      </c>
    </row>
    <row r="11316" spans="1:4" x14ac:dyDescent="0.25">
      <c r="A11316" t="str">
        <f>T("   100630")</f>
        <v xml:space="preserve">   100630</v>
      </c>
      <c r="B11316" t="str">
        <f>T("   Riz semi-blanchi ou blanchi, même poli ou glacé")</f>
        <v xml:space="preserve">   Riz semi-blanchi ou blanchi, même poli ou glacé</v>
      </c>
      <c r="C11316">
        <v>3056435462.0219998</v>
      </c>
      <c r="D11316">
        <v>12921134</v>
      </c>
    </row>
    <row r="11317" spans="1:4" x14ac:dyDescent="0.25">
      <c r="A11317" t="str">
        <f>T("   190531")</f>
        <v xml:space="preserve">   190531</v>
      </c>
      <c r="B11317" t="str">
        <f>T("   Biscuits additionnés d'édulcorants")</f>
        <v xml:space="preserve">   Biscuits additionnés d'édulcorants</v>
      </c>
      <c r="C11317">
        <v>18309255</v>
      </c>
      <c r="D11317">
        <v>22639</v>
      </c>
    </row>
    <row r="11318" spans="1:4" x14ac:dyDescent="0.25">
      <c r="A11318" t="str">
        <f>T("   190532")</f>
        <v xml:space="preserve">   190532</v>
      </c>
      <c r="B11318" t="str">
        <f>T("   GAUFRES ET GAUFRETTES")</f>
        <v xml:space="preserve">   GAUFRES ET GAUFRETTES</v>
      </c>
      <c r="C11318">
        <v>615006</v>
      </c>
      <c r="D11318">
        <v>764</v>
      </c>
    </row>
    <row r="11319" spans="1:4" x14ac:dyDescent="0.25">
      <c r="A11319" t="str">
        <f>T("   190590")</f>
        <v xml:space="preserve">   190590</v>
      </c>
      <c r="B11319" t="s">
        <v>51</v>
      </c>
      <c r="C11319">
        <v>4756110</v>
      </c>
      <c r="D11319">
        <v>5079</v>
      </c>
    </row>
    <row r="11320" spans="1:4" x14ac:dyDescent="0.25">
      <c r="A11320" t="str">
        <f>T("   330749")</f>
        <v xml:space="preserve">   330749</v>
      </c>
      <c r="B11320" t="str">
        <f>T("   Préparations pour parfumer ou pour désodoriser les locaux, y.c. les préparations odoriférantes pour cérémonies religieuses (à l'excl. de l'agarbatti et des autres préparations odoriférantes agissant par combustion)")</f>
        <v xml:space="preserve">   Préparations pour parfumer ou pour désodoriser les locaux, y.c. les préparations odoriférantes pour cérémonies religieuses (à l'excl. de l'agarbatti et des autres préparations odoriférantes agissant par combustion)</v>
      </c>
      <c r="C11320">
        <v>7694301</v>
      </c>
      <c r="D11320">
        <v>8257</v>
      </c>
    </row>
    <row r="11321" spans="1:4" x14ac:dyDescent="0.25">
      <c r="A11321" t="str">
        <f>T("   380810")</f>
        <v xml:space="preserve">   380810</v>
      </c>
      <c r="B11321" t="str">
        <f>T("   Insecticides présentés dans des formes ou emballages de vente au détail ou à l'état de préparations ou sous forme d'articles")</f>
        <v xml:space="preserve">   Insecticides présentés dans des formes ou emballages de vente au détail ou à l'état de préparations ou sous forme d'articles</v>
      </c>
      <c r="C11321">
        <v>773704</v>
      </c>
      <c r="D11321">
        <v>1020</v>
      </c>
    </row>
    <row r="11322" spans="1:4" x14ac:dyDescent="0.25">
      <c r="A11322" t="str">
        <f>T("   620590")</f>
        <v xml:space="preserve">   620590</v>
      </c>
      <c r="B11322"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1322">
        <v>700000</v>
      </c>
      <c r="D11322">
        <v>800</v>
      </c>
    </row>
    <row r="11323" spans="1:4" x14ac:dyDescent="0.25">
      <c r="A11323" t="str">
        <f>T("   630533")</f>
        <v xml:space="preserve">   630533</v>
      </c>
      <c r="B11323" t="str">
        <f>T("   Sacs et sachets d'emballage obtenus à partir de lames ou formes simil., de polyéthylène ou polypropylène (à l'excl. des contenants souples pour matières en vrac)")</f>
        <v xml:space="preserve">   Sacs et sachets d'emballage obtenus à partir de lames ou formes simil., de polyéthylène ou polypropylène (à l'excl. des contenants souples pour matières en vrac)</v>
      </c>
      <c r="C11323">
        <v>44606</v>
      </c>
      <c r="D11323">
        <v>800</v>
      </c>
    </row>
    <row r="11324" spans="1:4" x14ac:dyDescent="0.25">
      <c r="A11324" t="str">
        <f>T("   732394")</f>
        <v xml:space="preserve">   732394</v>
      </c>
      <c r="B11324" t="s">
        <v>367</v>
      </c>
      <c r="C11324">
        <v>800000</v>
      </c>
      <c r="D11324">
        <v>900</v>
      </c>
    </row>
    <row r="11325" spans="1:4" x14ac:dyDescent="0.25">
      <c r="A11325" t="str">
        <f>T("   854210")</f>
        <v xml:space="preserve">   854210</v>
      </c>
      <c r="B11325" t="str">
        <f>T("   Cartes munies d'un circuit intégré électronique [cartes intelligentes], munies ou non d'une piste magnétique")</f>
        <v xml:space="preserve">   Cartes munies d'un circuit intégré électronique [cartes intelligentes], munies ou non d'une piste magnétique</v>
      </c>
      <c r="C11325">
        <v>8786486</v>
      </c>
      <c r="D11325">
        <v>87</v>
      </c>
    </row>
    <row r="11326" spans="1:4" x14ac:dyDescent="0.25">
      <c r="A11326" t="str">
        <f>T("   940350")</f>
        <v xml:space="preserve">   940350</v>
      </c>
      <c r="B11326" t="str">
        <f>T("   Meubles pour chambres à coucher, en bois (sauf sièges)")</f>
        <v xml:space="preserve">   Meubles pour chambres à coucher, en bois (sauf sièges)</v>
      </c>
      <c r="C11326">
        <v>1500000</v>
      </c>
      <c r="D11326">
        <v>1800</v>
      </c>
    </row>
    <row r="11327" spans="1:4" x14ac:dyDescent="0.25">
      <c r="A11327" t="str">
        <f>T("YE")</f>
        <v>YE</v>
      </c>
      <c r="B11327" t="str">
        <f>T("Yémen")</f>
        <v>Yémen</v>
      </c>
    </row>
    <row r="11328" spans="1:4" x14ac:dyDescent="0.25">
      <c r="A11328" t="str">
        <f>T("   ZZ_Total_Produit_SH6")</f>
        <v xml:space="preserve">   ZZ_Total_Produit_SH6</v>
      </c>
      <c r="B11328" t="str">
        <f>T("   ZZ_Total_Produit_SH6")</f>
        <v xml:space="preserve">   ZZ_Total_Produit_SH6</v>
      </c>
      <c r="C11328">
        <v>8390385</v>
      </c>
      <c r="D11328">
        <v>37433</v>
      </c>
    </row>
    <row r="11329" spans="1:4" x14ac:dyDescent="0.25">
      <c r="A11329" t="str">
        <f>T("   271019")</f>
        <v xml:space="preserve">   271019</v>
      </c>
      <c r="B11329" t="str">
        <f>T("   Huiles moyennes et préparations, de pétrole ou de minéraux bitumineux, n.d.a.")</f>
        <v xml:space="preserve">   Huiles moyennes et préparations, de pétrole ou de minéraux bitumineux, n.d.a.</v>
      </c>
      <c r="C11329">
        <v>8390385</v>
      </c>
      <c r="D11329">
        <v>37433</v>
      </c>
    </row>
    <row r="11330" spans="1:4" x14ac:dyDescent="0.25">
      <c r="A11330" t="str">
        <f>T("YU")</f>
        <v>YU</v>
      </c>
      <c r="B11330" t="str">
        <f>T("Yougoslavie")</f>
        <v>Yougoslavie</v>
      </c>
    </row>
    <row r="11331" spans="1:4" x14ac:dyDescent="0.25">
      <c r="A11331" t="str">
        <f>T("   ZZ_Total_Produit_SH6")</f>
        <v xml:space="preserve">   ZZ_Total_Produit_SH6</v>
      </c>
      <c r="B11331" t="str">
        <f>T("   ZZ_Total_Produit_SH6")</f>
        <v xml:space="preserve">   ZZ_Total_Produit_SH6</v>
      </c>
      <c r="C11331">
        <v>20848377</v>
      </c>
      <c r="D11331">
        <v>16000</v>
      </c>
    </row>
    <row r="11332" spans="1:4" x14ac:dyDescent="0.25">
      <c r="A11332" t="str">
        <f>T("   390799")</f>
        <v xml:space="preserve">   390799</v>
      </c>
      <c r="B11332" t="str">
        <f>T("   POLYESTERS, SATURÉS, SOUS FORMES PRIMAIRES (À L'EXCL. DES POLYCARBONATES, DES RÉSINES ALKYDES ET DU POLY[ÉTHYLÈNE TÉRÉPHTALATE]) [01/01/1988-31/12/1993: POLYESTERS ALLYLIQUES ET AUTRES POLYESTERS, SATURÉS, SOUS FORMES PRIMAIRES]")</f>
        <v xml:space="preserve">   POLYESTERS, SATURÉS, SOUS FORMES PRIMAIRES (À L'EXCL. DES POLYCARBONATES, DES RÉSINES ALKYDES ET DU POLY[ÉTHYLÈNE TÉRÉPHTALATE]) [01/01/1988-31/12/1993: POLYESTERS ALLYLIQUES ET AUTRES POLYESTERS, SATURÉS, SOUS FORMES PRIMAIRES]</v>
      </c>
      <c r="C11332">
        <v>20848377</v>
      </c>
      <c r="D11332">
        <v>16000</v>
      </c>
    </row>
    <row r="11333" spans="1:4" x14ac:dyDescent="0.25">
      <c r="A11333" t="str">
        <f>T("Z2")</f>
        <v>Z2</v>
      </c>
      <c r="B11333" t="str">
        <f>T("Pays non défini")</f>
        <v>Pays non défini</v>
      </c>
    </row>
    <row r="11334" spans="1:4" x14ac:dyDescent="0.25">
      <c r="A11334" t="str">
        <f>T("   ZZ_Total_Produit_SH6")</f>
        <v xml:space="preserve">   ZZ_Total_Produit_SH6</v>
      </c>
      <c r="B11334" t="str">
        <f>T("   ZZ_Total_Produit_SH6")</f>
        <v xml:space="preserve">   ZZ_Total_Produit_SH6</v>
      </c>
      <c r="C11334">
        <v>1770924731.901</v>
      </c>
      <c r="D11334">
        <v>8729510.8200000003</v>
      </c>
    </row>
    <row r="11335" spans="1:4" x14ac:dyDescent="0.25">
      <c r="A11335" t="str">
        <f>T("   030310")</f>
        <v xml:space="preserve">   030310</v>
      </c>
      <c r="B11335" t="str">
        <f>T("   SAUMONS DU PACIFIQUE 'ONCORHYNCHUS SPP.', CONGELÉS")</f>
        <v xml:space="preserve">   SAUMONS DU PACIFIQUE 'ONCORHYNCHUS SPP.', CONGELÉS</v>
      </c>
      <c r="C11335">
        <v>2128585</v>
      </c>
      <c r="D11335">
        <v>28600</v>
      </c>
    </row>
    <row r="11336" spans="1:4" x14ac:dyDescent="0.25">
      <c r="A11336" t="str">
        <f>T("   040210")</f>
        <v xml:space="preserve">   040210</v>
      </c>
      <c r="B11336" t="str">
        <f>T("   Lait et crème de lait, en poudre, en granulés ou sous d'autres formes solides, d'une teneur en poids de matières grasses &lt;= 1,5%")</f>
        <v xml:space="preserve">   Lait et crème de lait, en poudre, en granulés ou sous d'autres formes solides, d'une teneur en poids de matières grasses &lt;= 1,5%</v>
      </c>
      <c r="C11336">
        <v>1305875</v>
      </c>
      <c r="D11336">
        <v>20200</v>
      </c>
    </row>
    <row r="11337" spans="1:4" x14ac:dyDescent="0.25">
      <c r="A11337" t="str">
        <f>T("   040510")</f>
        <v xml:space="preserve">   040510</v>
      </c>
      <c r="B11337" t="str">
        <f>T("   Beurre (sauf beurre déshydraté et ghee)")</f>
        <v xml:space="preserve">   Beurre (sauf beurre déshydraté et ghee)</v>
      </c>
      <c r="C11337">
        <v>5555600</v>
      </c>
      <c r="D11337">
        <v>2578</v>
      </c>
    </row>
    <row r="11338" spans="1:4" x14ac:dyDescent="0.25">
      <c r="A11338" t="str">
        <f>T("   071190")</f>
        <v xml:space="preserve">   071190</v>
      </c>
      <c r="B11338" t="s">
        <v>20</v>
      </c>
      <c r="C11338">
        <v>10065640</v>
      </c>
      <c r="D11338">
        <v>289800</v>
      </c>
    </row>
    <row r="11339" spans="1:4" x14ac:dyDescent="0.25">
      <c r="A11339" t="str">
        <f>T("   080410")</f>
        <v xml:space="preserve">   080410</v>
      </c>
      <c r="B11339" t="str">
        <f>T("   Dattes, fraîches ou sèches")</f>
        <v xml:space="preserve">   Dattes, fraîches ou sèches</v>
      </c>
      <c r="C11339">
        <v>925250</v>
      </c>
      <c r="D11339">
        <v>5000</v>
      </c>
    </row>
    <row r="11340" spans="1:4" x14ac:dyDescent="0.25">
      <c r="A11340" t="str">
        <f>T("   080810")</f>
        <v xml:space="preserve">   080810</v>
      </c>
      <c r="B11340" t="str">
        <f>T("   Pommes, fraîches")</f>
        <v xml:space="preserve">   Pommes, fraîches</v>
      </c>
      <c r="C11340">
        <v>2000000</v>
      </c>
      <c r="D11340">
        <v>43220</v>
      </c>
    </row>
    <row r="11341" spans="1:4" x14ac:dyDescent="0.25">
      <c r="A11341" t="str">
        <f>T("   100510")</f>
        <v xml:space="preserve">   100510</v>
      </c>
      <c r="B11341" t="str">
        <f>T("   Maïs de semence")</f>
        <v xml:space="preserve">   Maïs de semence</v>
      </c>
      <c r="C11341">
        <v>8600000</v>
      </c>
      <c r="D11341">
        <v>50400</v>
      </c>
    </row>
    <row r="11342" spans="1:4" x14ac:dyDescent="0.25">
      <c r="A11342" t="str">
        <f>T("   100590")</f>
        <v xml:space="preserve">   100590</v>
      </c>
      <c r="B11342" t="str">
        <f>T("   Maïs (autre que de semence)")</f>
        <v xml:space="preserve">   Maïs (autre que de semence)</v>
      </c>
      <c r="C11342">
        <v>1692660</v>
      </c>
      <c r="D11342">
        <v>24495</v>
      </c>
    </row>
    <row r="11343" spans="1:4" x14ac:dyDescent="0.25">
      <c r="A11343" t="str">
        <f>T("   100610")</f>
        <v xml:space="preserve">   100610</v>
      </c>
      <c r="B11343" t="str">
        <f>T("   Riz en paille [riz paddy]")</f>
        <v xml:space="preserve">   Riz en paille [riz paddy]</v>
      </c>
      <c r="C11343">
        <v>3846882</v>
      </c>
      <c r="D11343">
        <v>200489</v>
      </c>
    </row>
    <row r="11344" spans="1:4" x14ac:dyDescent="0.25">
      <c r="A11344" t="str">
        <f>T("   100620")</f>
        <v xml:space="preserve">   100620</v>
      </c>
      <c r="B11344" t="str">
        <f>T("   Riz décortiqué [riz cargo ou riz brun]")</f>
        <v xml:space="preserve">   Riz décortiqué [riz cargo ou riz brun]</v>
      </c>
      <c r="C11344">
        <v>204641723.646</v>
      </c>
      <c r="D11344">
        <v>1109300</v>
      </c>
    </row>
    <row r="11345" spans="1:4" x14ac:dyDescent="0.25">
      <c r="A11345" t="str">
        <f>T("   100640")</f>
        <v xml:space="preserve">   100640</v>
      </c>
      <c r="B11345" t="str">
        <f>T("   Riz en brisures")</f>
        <v xml:space="preserve">   Riz en brisures</v>
      </c>
      <c r="C11345">
        <v>22453258.546999998</v>
      </c>
      <c r="D11345">
        <v>132500</v>
      </c>
    </row>
    <row r="11346" spans="1:4" x14ac:dyDescent="0.25">
      <c r="A11346" t="str">
        <f>T("   110100")</f>
        <v xml:space="preserve">   110100</v>
      </c>
      <c r="B11346" t="str">
        <f>T("   Farines de froment [blé] ou de méteil")</f>
        <v xml:space="preserve">   Farines de froment [blé] ou de méteil</v>
      </c>
      <c r="C11346">
        <v>68472811.708000004</v>
      </c>
      <c r="D11346">
        <v>240000</v>
      </c>
    </row>
    <row r="11347" spans="1:4" x14ac:dyDescent="0.25">
      <c r="A11347" t="str">
        <f>T("   120740")</f>
        <v xml:space="preserve">   120740</v>
      </c>
      <c r="B11347" t="str">
        <f>T("   Graines de sésame, même concassées")</f>
        <v xml:space="preserve">   Graines de sésame, même concassées</v>
      </c>
      <c r="C11347">
        <v>250000</v>
      </c>
      <c r="D11347">
        <v>4675</v>
      </c>
    </row>
    <row r="11348" spans="1:4" x14ac:dyDescent="0.25">
      <c r="A11348" t="str">
        <f>T("   140490")</f>
        <v xml:space="preserve">   140490</v>
      </c>
      <c r="B11348" t="str">
        <f>T("   Produits végétaux, n.d.a.")</f>
        <v xml:space="preserve">   Produits végétaux, n.d.a.</v>
      </c>
      <c r="C11348">
        <v>503000</v>
      </c>
      <c r="D11348">
        <v>1500</v>
      </c>
    </row>
    <row r="11349" spans="1:4" x14ac:dyDescent="0.25">
      <c r="A11349" t="str">
        <f>T("   150790")</f>
        <v xml:space="preserve">   150790</v>
      </c>
      <c r="B11349" t="str">
        <f>T("   Huile de soja et ses fractions, même raffinées, mais non chimiquement modifiées (à l'excl. de l'huile de soja brute)")</f>
        <v xml:space="preserve">   Huile de soja et ses fractions, même raffinées, mais non chimiquement modifiées (à l'excl. de l'huile de soja brute)</v>
      </c>
      <c r="C11349">
        <v>3225500</v>
      </c>
      <c r="D11349">
        <v>4800</v>
      </c>
    </row>
    <row r="11350" spans="1:4" x14ac:dyDescent="0.25">
      <c r="A11350" t="str">
        <f>T("   150810")</f>
        <v xml:space="preserve">   150810</v>
      </c>
      <c r="B11350" t="str">
        <f>T("   Huile d'arachide, brute")</f>
        <v xml:space="preserve">   Huile d'arachide, brute</v>
      </c>
      <c r="C11350">
        <v>9814120</v>
      </c>
      <c r="D11350">
        <v>48000</v>
      </c>
    </row>
    <row r="11351" spans="1:4" x14ac:dyDescent="0.25">
      <c r="A11351" t="str">
        <f>T("   151620")</f>
        <v xml:space="preserve">   151620</v>
      </c>
      <c r="B11351"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11351">
        <v>11709105</v>
      </c>
      <c r="D11351">
        <v>123951</v>
      </c>
    </row>
    <row r="11352" spans="1:4" x14ac:dyDescent="0.25">
      <c r="A11352" t="str">
        <f>T("   190190")</f>
        <v xml:space="preserve">   190190</v>
      </c>
      <c r="B11352" t="s">
        <v>49</v>
      </c>
      <c r="C11352">
        <v>4400000</v>
      </c>
      <c r="D11352">
        <v>50000</v>
      </c>
    </row>
    <row r="11353" spans="1:4" x14ac:dyDescent="0.25">
      <c r="A11353" t="str">
        <f>T("   190219")</f>
        <v xml:space="preserve">   190219</v>
      </c>
      <c r="B11353" t="str">
        <f>T("   PÂTES ALIMENTAIRES NON-CUITES NI FARCIES NI AUTREMENT PRÉPARÉES, NE CONTENANT PAS D'OEUFS")</f>
        <v xml:space="preserve">   PÂTES ALIMENTAIRES NON-CUITES NI FARCIES NI AUTREMENT PRÉPARÉES, NE CONTENANT PAS D'OEUFS</v>
      </c>
      <c r="C11353">
        <v>7475900</v>
      </c>
      <c r="D11353">
        <v>83043</v>
      </c>
    </row>
    <row r="11354" spans="1:4" x14ac:dyDescent="0.25">
      <c r="A11354" t="str">
        <f>T("   190230")</f>
        <v xml:space="preserve">   190230</v>
      </c>
      <c r="B11354" t="str">
        <f>T("   Pâtes alimentaires, cuites ou autrement préparées (à l'excl. des pâtes alimentaires farcies)")</f>
        <v xml:space="preserve">   Pâtes alimentaires, cuites ou autrement préparées (à l'excl. des pâtes alimentaires farcies)</v>
      </c>
      <c r="C11354">
        <v>2955000</v>
      </c>
      <c r="D11354">
        <v>78000</v>
      </c>
    </row>
    <row r="11355" spans="1:4" x14ac:dyDescent="0.25">
      <c r="A11355" t="str">
        <f>T("   190530")</f>
        <v xml:space="preserve">   190530</v>
      </c>
      <c r="B11355" t="str">
        <f>T("   BISCUITS ADDITIONNES D'EDULCORANTS, GAUFRES ET GAUFRETTES, MÊME ADDITIONNES DE CACAO (À L'EXCL. DES GAUFRES ET GAUFRETTES AYANT UNE TENEUR EN EAU &gt; 10%)")</f>
        <v xml:space="preserve">   BISCUITS ADDITIONNES D'EDULCORANTS, GAUFRES ET GAUFRETTES, MÊME ADDITIONNES DE CACAO (À L'EXCL. DES GAUFRES ET GAUFRETTES AYANT UNE TENEUR EN EAU &gt; 10%)</v>
      </c>
      <c r="C11355">
        <v>1473000</v>
      </c>
      <c r="D11355">
        <v>59460</v>
      </c>
    </row>
    <row r="11356" spans="1:4" x14ac:dyDescent="0.25">
      <c r="A11356" t="str">
        <f>T("   200290")</f>
        <v xml:space="preserve">   200290</v>
      </c>
      <c r="B11356"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11356">
        <v>5555600</v>
      </c>
      <c r="D11356">
        <v>36800</v>
      </c>
    </row>
    <row r="11357" spans="1:4" x14ac:dyDescent="0.25">
      <c r="A11357" t="str">
        <f>T("   210690")</f>
        <v xml:space="preserve">   210690</v>
      </c>
      <c r="B11357" t="str">
        <f>T("   Préparations alimentaires, n.d.a.")</f>
        <v xml:space="preserve">   Préparations alimentaires, n.d.a.</v>
      </c>
      <c r="C11357">
        <v>3700000</v>
      </c>
      <c r="D11357">
        <v>8711</v>
      </c>
    </row>
    <row r="11358" spans="1:4" x14ac:dyDescent="0.25">
      <c r="A11358" t="str">
        <f>T("   250100")</f>
        <v xml:space="preserve">   250100</v>
      </c>
      <c r="B11358" t="s">
        <v>63</v>
      </c>
      <c r="C11358">
        <v>2913000</v>
      </c>
      <c r="D11358">
        <v>57275</v>
      </c>
    </row>
    <row r="11359" spans="1:4" x14ac:dyDescent="0.25">
      <c r="A11359" t="str">
        <f>T("   252010")</f>
        <v xml:space="preserve">   252010</v>
      </c>
      <c r="B11359" t="str">
        <f>T("   Gypse; anhydrite")</f>
        <v xml:space="preserve">   Gypse; anhydrite</v>
      </c>
      <c r="C11359">
        <v>602000</v>
      </c>
      <c r="D11359">
        <v>23000</v>
      </c>
    </row>
    <row r="11360" spans="1:4" x14ac:dyDescent="0.25">
      <c r="A11360" t="str">
        <f>T("   271000")</f>
        <v xml:space="preserve">   271000</v>
      </c>
      <c r="B11360" t="str">
        <f>T("   HUILES DE PETROLE OU DE MINERAUX BITUMINEUX (AUTRES QUE LES HUILES BRUTES); PRÉPARATIONS N.D.A. CONTENANT EN POIDS &gt;= 70% D'HUILES DE PETROLE OU DE MINERAUX BITUMINEUX ET DONT CES HUILES CONSTITUENT L'ELEMENT DE BASE")</f>
        <v xml:space="preserve">   HUILES DE PETROLE OU DE MINERAUX BITUMINEUX (AUTRES QUE LES HUILES BRUTES); PRÉPARATIONS N.D.A. CONTENANT EN POIDS &gt;= 70% D'HUILES DE PETROLE OU DE MINERAUX BITUMINEUX ET DONT CES HUILES CONSTITUENT L'ELEMENT DE BASE</v>
      </c>
      <c r="C11360">
        <v>4207500</v>
      </c>
      <c r="D11360">
        <v>14239</v>
      </c>
    </row>
    <row r="11361" spans="1:4" x14ac:dyDescent="0.25">
      <c r="A11361" t="str">
        <f>T("   281511")</f>
        <v xml:space="preserve">   281511</v>
      </c>
      <c r="B11361" t="str">
        <f>T("   Hydroxyde de sodium [soude caustique], solide")</f>
        <v xml:space="preserve">   Hydroxyde de sodium [soude caustique], solide</v>
      </c>
      <c r="C11361">
        <v>930000</v>
      </c>
      <c r="D11361">
        <v>125500</v>
      </c>
    </row>
    <row r="11362" spans="1:4" x14ac:dyDescent="0.25">
      <c r="A11362" t="str">
        <f>T("   283919")</f>
        <v xml:space="preserve">   283919</v>
      </c>
      <c r="B11362" t="str">
        <f>T("   Silicates de sodium, y.c. les silicates du commerce (à l'excl. des métasilicates)")</f>
        <v xml:space="preserve">   Silicates de sodium, y.c. les silicates du commerce (à l'excl. des métasilicates)</v>
      </c>
      <c r="C11362">
        <v>1387810</v>
      </c>
      <c r="D11362">
        <v>36292</v>
      </c>
    </row>
    <row r="11363" spans="1:4" x14ac:dyDescent="0.25">
      <c r="A11363" t="str">
        <f>T("   300339")</f>
        <v xml:space="preserve">   300339</v>
      </c>
      <c r="B11363" t="str">
        <f>T("   Médicaments contenant des hormones ou des stéroïdes utilisés comme hormones, mais ne contenant pas d'antibiotiques, non présentés sous forme de doses, ni conditionnés pour la vente au détail (à l'excl. des médicaments contenant de l'insuline)")</f>
        <v xml:space="preserve">   Médicaments contenant des hormones ou des stéroïdes utilisés comme hormones, mais ne contenant pas d'antibiotiques, non présentés sous forme de doses, ni conditionnés pour la vente au détail (à l'excl. des médicaments contenant de l'insuline)</v>
      </c>
      <c r="C11363">
        <v>1800000</v>
      </c>
      <c r="D11363">
        <v>7520</v>
      </c>
    </row>
    <row r="11364" spans="1:4" x14ac:dyDescent="0.25">
      <c r="A11364" t="str">
        <f>T("   300490")</f>
        <v xml:space="preserve">   300490</v>
      </c>
      <c r="B11364" t="s">
        <v>80</v>
      </c>
      <c r="C11364">
        <v>1000000</v>
      </c>
      <c r="D11364">
        <v>1000</v>
      </c>
    </row>
    <row r="11365" spans="1:4" x14ac:dyDescent="0.25">
      <c r="A11365" t="str">
        <f>T("   330300")</f>
        <v xml:space="preserve">   330300</v>
      </c>
      <c r="B11365" t="str">
        <f>T("   Parfums et eaux de toilette (à l'excl. des préparations pour l'après-rasage [lotions after-shave] et des désodorisants corporels)")</f>
        <v xml:space="preserve">   Parfums et eaux de toilette (à l'excl. des préparations pour l'après-rasage [lotions after-shave] et des désodorisants corporels)</v>
      </c>
      <c r="C11365">
        <v>1228000</v>
      </c>
      <c r="D11365">
        <v>10355</v>
      </c>
    </row>
    <row r="11366" spans="1:4" x14ac:dyDescent="0.25">
      <c r="A11366" t="str">
        <f>T("   330410")</f>
        <v xml:space="preserve">   330410</v>
      </c>
      <c r="B11366" t="str">
        <f>T("   Produits de maquillage pour les lèvres")</f>
        <v xml:space="preserve">   Produits de maquillage pour les lèvres</v>
      </c>
      <c r="C11366">
        <v>560000</v>
      </c>
      <c r="D11366">
        <v>177</v>
      </c>
    </row>
    <row r="11367" spans="1:4" x14ac:dyDescent="0.25">
      <c r="A11367" t="str">
        <f>T("   360690")</f>
        <v xml:space="preserve">   360690</v>
      </c>
      <c r="B11367" t="s">
        <v>112</v>
      </c>
      <c r="C11367">
        <v>5433000</v>
      </c>
      <c r="D11367">
        <v>8696</v>
      </c>
    </row>
    <row r="11368" spans="1:4" x14ac:dyDescent="0.25">
      <c r="A11368" t="str">
        <f>T("   380810")</f>
        <v xml:space="preserve">   380810</v>
      </c>
      <c r="B11368" t="str">
        <f>T("   Insecticides présentés dans des formes ou emballages de vente au détail ou à l'état de préparations ou sous forme d'articles")</f>
        <v xml:space="preserve">   Insecticides présentés dans des formes ou emballages de vente au détail ou à l'état de préparations ou sous forme d'articles</v>
      </c>
      <c r="C11368">
        <v>11700000</v>
      </c>
      <c r="D11368">
        <v>10446</v>
      </c>
    </row>
    <row r="11369" spans="1:4" x14ac:dyDescent="0.25">
      <c r="A11369" t="str">
        <f>T("   380840")</f>
        <v xml:space="preserve">   380840</v>
      </c>
      <c r="B11369" t="str">
        <f>T("   Désinfectants et produits simil., présentés dans des formes ou emballages de vente au détail ou à l'état de préparations ou sous forme d'articles")</f>
        <v xml:space="preserve">   Désinfectants et produits simil., présentés dans des formes ou emballages de vente au détail ou à l'état de préparations ou sous forme d'articles</v>
      </c>
      <c r="C11369">
        <v>1209025</v>
      </c>
      <c r="D11369">
        <v>12500</v>
      </c>
    </row>
    <row r="11370" spans="1:4" x14ac:dyDescent="0.25">
      <c r="A11370" t="str">
        <f>T("   391212")</f>
        <v xml:space="preserve">   391212</v>
      </c>
      <c r="B11370" t="str">
        <f>T("   Acétates de cellulose, plastifiés, sous formes primaires")</f>
        <v xml:space="preserve">   Acétates de cellulose, plastifiés, sous formes primaires</v>
      </c>
      <c r="C11370">
        <v>2955000</v>
      </c>
      <c r="D11370">
        <v>25000</v>
      </c>
    </row>
    <row r="11371" spans="1:4" x14ac:dyDescent="0.25">
      <c r="A11371" t="str">
        <f>T("   400299")</f>
        <v xml:space="preserve">   400299</v>
      </c>
      <c r="B11371" t="s">
        <v>153</v>
      </c>
      <c r="C11371">
        <v>12665000</v>
      </c>
      <c r="D11371">
        <v>18920</v>
      </c>
    </row>
    <row r="11372" spans="1:4" x14ac:dyDescent="0.25">
      <c r="A11372" t="str">
        <f>T("   401110")</f>
        <v xml:space="preserve">   401110</v>
      </c>
      <c r="B11372"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11372">
        <v>469000</v>
      </c>
      <c r="D11372">
        <v>8000</v>
      </c>
    </row>
    <row r="11373" spans="1:4" x14ac:dyDescent="0.25">
      <c r="A11373" t="str">
        <f>T("   401199")</f>
        <v xml:space="preserve">   401199</v>
      </c>
      <c r="B11373" t="s">
        <v>158</v>
      </c>
      <c r="C11373">
        <v>1000000</v>
      </c>
      <c r="D11373">
        <v>50000</v>
      </c>
    </row>
    <row r="11374" spans="1:4" x14ac:dyDescent="0.25">
      <c r="A11374" t="str">
        <f>T("   401210")</f>
        <v xml:space="preserve">   401210</v>
      </c>
      <c r="B11374" t="str">
        <f>T("   PNEUMATIQUES RECHAPES, EN CAOUTCHOUC")</f>
        <v xml:space="preserve">   PNEUMATIQUES RECHAPES, EN CAOUTCHOUC</v>
      </c>
      <c r="C11374">
        <v>2525250</v>
      </c>
      <c r="D11374">
        <v>34500</v>
      </c>
    </row>
    <row r="11375" spans="1:4" x14ac:dyDescent="0.25">
      <c r="A11375" t="str">
        <f>T("   401220")</f>
        <v xml:space="preserve">   401220</v>
      </c>
      <c r="B11375" t="str">
        <f>T("   Pneumatiques usagés, en caoutchouc")</f>
        <v xml:space="preserve">   Pneumatiques usagés, en caoutchouc</v>
      </c>
      <c r="C11375">
        <v>3000000</v>
      </c>
      <c r="D11375">
        <v>16000</v>
      </c>
    </row>
    <row r="11376" spans="1:4" x14ac:dyDescent="0.25">
      <c r="A11376" t="str">
        <f>T("   401290")</f>
        <v xml:space="preserve">   401290</v>
      </c>
      <c r="B11376" t="str">
        <f>T("   Bandages pleins ou creux [mi-pleins], bandes de roulement amovibles pour pneumatiques et flaps, en caoutchouc")</f>
        <v xml:space="preserve">   Bandages pleins ou creux [mi-pleins], bandes de roulement amovibles pour pneumatiques et flaps, en caoutchouc</v>
      </c>
      <c r="C11376">
        <v>2076790</v>
      </c>
      <c r="D11376">
        <v>50930</v>
      </c>
    </row>
    <row r="11377" spans="1:4" x14ac:dyDescent="0.25">
      <c r="A11377" t="str">
        <f>T("   420212")</f>
        <v xml:space="preserve">   420212</v>
      </c>
      <c r="B11377" t="str">
        <f>T("   Malles, valises et mallettes, y.c. les mallettes de toilette et les mallettes porte-documents, serviettes, cartables et contenants simil., à surface extérieure en matières plastiques ou en matières textiles")</f>
        <v xml:space="preserve">   Malles, valises et mallettes, y.c. les mallettes de toilette et les mallettes porte-documents, serviettes, cartables et contenants simil., à surface extérieure en matières plastiques ou en matières textiles</v>
      </c>
      <c r="C11377">
        <v>4000000</v>
      </c>
      <c r="D11377">
        <v>2500</v>
      </c>
    </row>
    <row r="11378" spans="1:4" x14ac:dyDescent="0.25">
      <c r="A11378" t="str">
        <f>T("   420299")</f>
        <v xml:space="preserve">   420299</v>
      </c>
      <c r="B11378" t="s">
        <v>165</v>
      </c>
      <c r="C11378">
        <v>3243475</v>
      </c>
      <c r="D11378">
        <v>1500</v>
      </c>
    </row>
    <row r="11379" spans="1:4" x14ac:dyDescent="0.25">
      <c r="A11379" t="str">
        <f>T("   440799")</f>
        <v xml:space="preserve">   440799</v>
      </c>
      <c r="B11379" t="s">
        <v>171</v>
      </c>
      <c r="C11379">
        <v>2780000</v>
      </c>
      <c r="D11379">
        <v>4050</v>
      </c>
    </row>
    <row r="11380" spans="1:4" x14ac:dyDescent="0.25">
      <c r="A11380" t="str">
        <f>T("   442110")</f>
        <v xml:space="preserve">   442110</v>
      </c>
      <c r="B11380" t="str">
        <f>T("   Cintres pour vêtements, en bois")</f>
        <v xml:space="preserve">   Cintres pour vêtements, en bois</v>
      </c>
      <c r="C11380">
        <v>300000</v>
      </c>
      <c r="D11380">
        <v>9000</v>
      </c>
    </row>
    <row r="11381" spans="1:4" x14ac:dyDescent="0.25">
      <c r="A11381" t="str">
        <f>T("   480100")</f>
        <v xml:space="preserve">   480100</v>
      </c>
      <c r="B11381" t="str">
        <f>T("   Papier journal, en rouleaux d'une largeur &gt; 36 cm ou en feuilles de forme carrée ou rectangulaire dont au moins un coté &gt; 36 cm et l'autre &gt; 15 cm à l'état non plié")</f>
        <v xml:space="preserve">   Papier journal, en rouleaux d'une largeur &gt; 36 cm ou en feuilles de forme carrée ou rectangulaire dont au moins un coté &gt; 36 cm et l'autre &gt; 15 cm à l'état non plié</v>
      </c>
      <c r="C11381">
        <v>675000</v>
      </c>
      <c r="D11381">
        <v>16429</v>
      </c>
    </row>
    <row r="11382" spans="1:4" x14ac:dyDescent="0.25">
      <c r="A11382" t="str">
        <f>T("   480529")</f>
        <v xml:space="preserve">   480529</v>
      </c>
      <c r="B11382" t="str">
        <f>T("   PAPIERS ET CARTONS MULTICOUCHES, NON-COUCHÉS NI ENDUITS, EN ROULEAUX OU EN FEUILLES DES TYPES DEFINIS DANS LES NOTES 7A) OU 7B) DU PRESENT CHAPITRE, N.D.A.")</f>
        <v xml:space="preserve">   PAPIERS ET CARTONS MULTICOUCHES, NON-COUCHÉS NI ENDUITS, EN ROULEAUX OU EN FEUILLES DES TYPES DEFINIS DANS LES NOTES 7A) OU 7B) DU PRESENT CHAPITRE, N.D.A.</v>
      </c>
      <c r="C11382">
        <v>1000000</v>
      </c>
      <c r="D11382">
        <v>827</v>
      </c>
    </row>
    <row r="11383" spans="1:4" x14ac:dyDescent="0.25">
      <c r="A11383" t="str">
        <f>T("   481890")</f>
        <v xml:space="preserve">   481890</v>
      </c>
      <c r="B11383" t="s">
        <v>217</v>
      </c>
      <c r="C11383">
        <v>2000000</v>
      </c>
      <c r="D11383">
        <v>10420</v>
      </c>
    </row>
    <row r="11384" spans="1:4" x14ac:dyDescent="0.25">
      <c r="A11384" t="str">
        <f>T("   490110")</f>
        <v xml:space="preserve">   490110</v>
      </c>
      <c r="B11384" t="str">
        <f>T("   Livres, brochures et imprimés simil., en feuillets isolés, même pliés (à l'excl. des publications périodiques et des publications à usages principalement publicitaires)")</f>
        <v xml:space="preserve">   Livres, brochures et imprimés simil., en feuillets isolés, même pliés (à l'excl. des publications périodiques et des publications à usages principalement publicitaires)</v>
      </c>
      <c r="C11384">
        <v>200000</v>
      </c>
      <c r="D11384">
        <v>150</v>
      </c>
    </row>
    <row r="11385" spans="1:4" x14ac:dyDescent="0.25">
      <c r="A11385" t="str">
        <f>T("   500790")</f>
        <v xml:space="preserve">   500790</v>
      </c>
      <c r="B11385" t="str">
        <f>T("   Tissus de soie ou de déchets de soie (autres que la bourrette), contenant en prédominance, mais &lt; 85% de soie ou de déchets de soie")</f>
        <v xml:space="preserve">   Tissus de soie ou de déchets de soie (autres que la bourrette), contenant en prédominance, mais &lt; 85% de soie ou de déchets de soie</v>
      </c>
      <c r="C11385">
        <v>10740046</v>
      </c>
      <c r="D11385">
        <v>20000</v>
      </c>
    </row>
    <row r="11386" spans="1:4" x14ac:dyDescent="0.25">
      <c r="A11386" t="str">
        <f>T("   570220")</f>
        <v xml:space="preserve">   570220</v>
      </c>
      <c r="B11386" t="str">
        <f>T("   Revêtements de sol en coco, tissés, même confectionnés")</f>
        <v xml:space="preserve">   Revêtements de sol en coco, tissés, même confectionnés</v>
      </c>
      <c r="C11386">
        <v>1935075</v>
      </c>
      <c r="D11386">
        <v>7659</v>
      </c>
    </row>
    <row r="11387" spans="1:4" x14ac:dyDescent="0.25">
      <c r="A11387" t="str">
        <f>T("   610190")</f>
        <v xml:space="preserve">   610190</v>
      </c>
      <c r="B11387" t="s">
        <v>258</v>
      </c>
      <c r="C11387">
        <v>3158475</v>
      </c>
      <c r="D11387">
        <v>2500</v>
      </c>
    </row>
    <row r="11388" spans="1:4" x14ac:dyDescent="0.25">
      <c r="A11388" t="str">
        <f>T("   610791")</f>
        <v xml:space="preserve">   610791</v>
      </c>
      <c r="B11388" t="str">
        <f>T("   Peignoirs de bain, robes de chambre et articles simil., en bonneterie, de coton, pour hommes ou garçonnets")</f>
        <v xml:space="preserve">   Peignoirs de bain, robes de chambre et articles simil., en bonneterie, de coton, pour hommes ou garçonnets</v>
      </c>
      <c r="C11388">
        <v>1201389</v>
      </c>
      <c r="D11388">
        <v>12500</v>
      </c>
    </row>
    <row r="11389" spans="1:4" x14ac:dyDescent="0.25">
      <c r="A11389" t="str">
        <f>T("   611090")</f>
        <v xml:space="preserve">   611090</v>
      </c>
      <c r="B11389" t="str">
        <f>T("   Chandails, pull-overs, cardigans, gilets et articles simil., y.c. les sous-pulls, en bonneterie, de matières textiles (sauf de laine, poils fins, coton, fibres synthétiques ou artificielles et sauf gilets ouatinés)")</f>
        <v xml:space="preserve">   Chandails, pull-overs, cardigans, gilets et articles simil., y.c. les sous-pulls, en bonneterie, de matières textiles (sauf de laine, poils fins, coton, fibres synthétiques ou artificielles et sauf gilets ouatinés)</v>
      </c>
      <c r="C11389">
        <v>4361995</v>
      </c>
      <c r="D11389">
        <v>3000</v>
      </c>
    </row>
    <row r="11390" spans="1:4" x14ac:dyDescent="0.25">
      <c r="A11390" t="str">
        <f>T("   620112")</f>
        <v xml:space="preserve">   620112</v>
      </c>
      <c r="B11390" t="str">
        <f>T("   Manteaux, imperméables, cabans, capes et articles simil., de coton, pour hommes ou garçonnets (à l'excl. des articles en bonneterie)")</f>
        <v xml:space="preserve">   Manteaux, imperméables, cabans, capes et articles simil., de coton, pour hommes ou garçonnets (à l'excl. des articles en bonneterie)</v>
      </c>
      <c r="C11390">
        <v>2880000</v>
      </c>
      <c r="D11390">
        <v>15000</v>
      </c>
    </row>
    <row r="11391" spans="1:4" x14ac:dyDescent="0.25">
      <c r="A11391" t="str">
        <f>T("   621040")</f>
        <v xml:space="preserve">   621040</v>
      </c>
      <c r="B11391" t="s">
        <v>271</v>
      </c>
      <c r="C11391">
        <v>3200000</v>
      </c>
      <c r="D11391">
        <v>1000</v>
      </c>
    </row>
    <row r="11392" spans="1:4" x14ac:dyDescent="0.25">
      <c r="A11392" t="str">
        <f>T("   630391")</f>
        <v xml:space="preserve">   630391</v>
      </c>
      <c r="B11392" t="str">
        <f>T("   Vitrages, rideaux et stores d'intérieur ainsi que cantonnières et tours de lit, de coton (autres qu'en bonneterie et autres que stores d'extérieur)")</f>
        <v xml:space="preserve">   Vitrages, rideaux et stores d'intérieur ainsi que cantonnières et tours de lit, de coton (autres qu'en bonneterie et autres que stores d'extérieur)</v>
      </c>
      <c r="C11392">
        <v>14917016</v>
      </c>
      <c r="D11392">
        <v>60950</v>
      </c>
    </row>
    <row r="11393" spans="1:4" x14ac:dyDescent="0.25">
      <c r="A11393" t="str">
        <f>T("   630419")</f>
        <v xml:space="preserve">   630419</v>
      </c>
      <c r="B11393" t="str">
        <f>T("   Couvre-lits en tous types de matières textiles (autres qu'en bonneterie et sauf linge de lit, couvre-pieds et édredons)")</f>
        <v xml:space="preserve">   Couvre-lits en tous types de matières textiles (autres qu'en bonneterie et sauf linge de lit, couvre-pieds et édredons)</v>
      </c>
      <c r="C11393">
        <v>50000</v>
      </c>
      <c r="D11393">
        <v>800</v>
      </c>
    </row>
    <row r="11394" spans="1:4" x14ac:dyDescent="0.25">
      <c r="A11394" t="str">
        <f>T("   630900")</f>
        <v xml:space="preserve">   630900</v>
      </c>
      <c r="B11394" t="s">
        <v>278</v>
      </c>
      <c r="C11394">
        <v>17796402</v>
      </c>
      <c r="D11394">
        <v>87100</v>
      </c>
    </row>
    <row r="11395" spans="1:4" x14ac:dyDescent="0.25">
      <c r="A11395" t="str">
        <f>T("   631090")</f>
        <v xml:space="preserve">   631090</v>
      </c>
      <c r="B11395" t="str">
        <f>T("   Chiffons en tous types de matières textiles ainsi que ficelles, cordes et cordages et articles composés de ceux-ci, de matières textiles, sous forme de déchets ou d'articles hors d'usage, non triés")</f>
        <v xml:space="preserve">   Chiffons en tous types de matières textiles ainsi que ficelles, cordes et cordages et articles composés de ceux-ci, de matières textiles, sous forme de déchets ou d'articles hors d'usage, non triés</v>
      </c>
      <c r="C11395">
        <v>515510</v>
      </c>
      <c r="D11395">
        <v>6200</v>
      </c>
    </row>
    <row r="11396" spans="1:4" x14ac:dyDescent="0.25">
      <c r="A11396" t="str">
        <f>T("   640110")</f>
        <v xml:space="preserve">   640110</v>
      </c>
      <c r="B11396" t="s">
        <v>279</v>
      </c>
      <c r="C11396">
        <v>941900</v>
      </c>
      <c r="D11396">
        <v>1402</v>
      </c>
    </row>
    <row r="11397" spans="1:4" x14ac:dyDescent="0.25">
      <c r="A11397" t="str">
        <f>T("   640219")</f>
        <v xml:space="preserve">   640219</v>
      </c>
      <c r="B11397" t="s">
        <v>281</v>
      </c>
      <c r="C11397">
        <v>716250</v>
      </c>
      <c r="D11397">
        <v>2400</v>
      </c>
    </row>
    <row r="11398" spans="1:4" x14ac:dyDescent="0.25">
      <c r="A11398" t="str">
        <f>T("   640220")</f>
        <v xml:space="preserve">   640220</v>
      </c>
      <c r="B11398" t="str">
        <f>T("   Chaussures à semelles extérieures et dessus en caoutchouc ou en matière plastique, à dessus en lanières ou brides fixées à la semelle par des tétons (sauf chaussures ayant le caractère de jouets)")</f>
        <v xml:space="preserve">   Chaussures à semelles extérieures et dessus en caoutchouc ou en matière plastique, à dessus en lanières ou brides fixées à la semelle par des tétons (sauf chaussures ayant le caractère de jouets)</v>
      </c>
      <c r="C11398">
        <v>3594000</v>
      </c>
      <c r="D11398">
        <v>6250</v>
      </c>
    </row>
    <row r="11399" spans="1:4" x14ac:dyDescent="0.25">
      <c r="A11399" t="str">
        <f>T("   640319")</f>
        <v xml:space="preserve">   640319</v>
      </c>
      <c r="B11399" t="s">
        <v>284</v>
      </c>
      <c r="C11399">
        <v>6055000</v>
      </c>
      <c r="D11399">
        <v>2000</v>
      </c>
    </row>
    <row r="11400" spans="1:4" x14ac:dyDescent="0.25">
      <c r="A11400" t="str">
        <f>T("   640419")</f>
        <v xml:space="preserve">   640419</v>
      </c>
      <c r="B11400" t="s">
        <v>288</v>
      </c>
      <c r="C11400">
        <v>1274500</v>
      </c>
      <c r="D11400">
        <v>12500</v>
      </c>
    </row>
    <row r="11401" spans="1:4" x14ac:dyDescent="0.25">
      <c r="A11401" t="str">
        <f>T("   680210")</f>
        <v xml:space="preserve">   680210</v>
      </c>
      <c r="B11401" t="s">
        <v>292</v>
      </c>
      <c r="C11401">
        <v>4899675</v>
      </c>
      <c r="D11401">
        <v>224579</v>
      </c>
    </row>
    <row r="11402" spans="1:4" x14ac:dyDescent="0.25">
      <c r="A11402" t="str">
        <f>T("   681019")</f>
        <v xml:space="preserve">   681019</v>
      </c>
      <c r="B11402" t="str">
        <f>T("   Tuiles, carreaux, dalles et articles simil., en ciment, en béton ou en pierre artificielle (autres que blocs et briques pour la construction)")</f>
        <v xml:space="preserve">   Tuiles, carreaux, dalles et articles simil., en ciment, en béton ou en pierre artificielle (autres que blocs et briques pour la construction)</v>
      </c>
      <c r="C11402">
        <v>18200000</v>
      </c>
      <c r="D11402">
        <v>353251</v>
      </c>
    </row>
    <row r="11403" spans="1:4" x14ac:dyDescent="0.25">
      <c r="A11403" t="str">
        <f>T("   681091")</f>
        <v xml:space="preserve">   681091</v>
      </c>
      <c r="B11403" t="str">
        <f>T("   ÉLÉMENTS PRÉFABRIQUÉS POUR LE BÂTIMENT OU LE GÉNIE CIVIL, EN CIMENT, EN BÉTON OU EN PIERRE ARTIFICIELLE, MÊME ARMÉS")</f>
        <v xml:space="preserve">   ÉLÉMENTS PRÉFABRIQUÉS POUR LE BÂTIMENT OU LE GÉNIE CIVIL, EN CIMENT, EN BÉTON OU EN PIERRE ARTIFICIELLE, MÊME ARMÉS</v>
      </c>
      <c r="C11403">
        <v>702850</v>
      </c>
      <c r="D11403">
        <v>1500</v>
      </c>
    </row>
    <row r="11404" spans="1:4" x14ac:dyDescent="0.25">
      <c r="A11404" t="str">
        <f>T("   681110")</f>
        <v xml:space="preserve">   681110</v>
      </c>
      <c r="B11404" t="str">
        <f>T("   Plaques ondulées en amiante-ciment, cellulose-ciment ou simil.")</f>
        <v xml:space="preserve">   Plaques ondulées en amiante-ciment, cellulose-ciment ou simil.</v>
      </c>
      <c r="C11404">
        <v>1820000</v>
      </c>
      <c r="D11404">
        <v>6500</v>
      </c>
    </row>
    <row r="11405" spans="1:4" x14ac:dyDescent="0.25">
      <c r="A11405" t="str">
        <f>T("   681120")</f>
        <v xml:space="preserve">   681120</v>
      </c>
      <c r="B11405" t="str">
        <f>T("   Plaques, panneaux, carreaux, tuiles et articles simil., en amiante-ciment, cellulose-ciment ou simil. (sauf plaques ondulées)")</f>
        <v xml:space="preserve">   Plaques, panneaux, carreaux, tuiles et articles simil., en amiante-ciment, cellulose-ciment ou simil. (sauf plaques ondulées)</v>
      </c>
      <c r="C11405">
        <v>277085</v>
      </c>
      <c r="D11405">
        <v>15000</v>
      </c>
    </row>
    <row r="11406" spans="1:4" x14ac:dyDescent="0.25">
      <c r="A11406" t="str">
        <f>T("   681240")</f>
        <v xml:space="preserve">   681240</v>
      </c>
      <c r="B11406" t="str">
        <f>T("   TISSUS ET ETOFFES DE BONNETERIE EN AMIANTE OU EN MÉLANGES A BASE D'AMIANTE OU A BASE D'AMIANTE ET DE CARBONATE DE MAGNESIUM")</f>
        <v xml:space="preserve">   TISSUS ET ETOFFES DE BONNETERIE EN AMIANTE OU EN MÉLANGES A BASE D'AMIANTE OU A BASE D'AMIANTE ET DE CARBONATE DE MAGNESIUM</v>
      </c>
      <c r="C11406">
        <v>1020000</v>
      </c>
      <c r="D11406">
        <v>250</v>
      </c>
    </row>
    <row r="11407" spans="1:4" x14ac:dyDescent="0.25">
      <c r="A11407" t="str">
        <f>T("   691090")</f>
        <v xml:space="preserve">   691090</v>
      </c>
      <c r="B11407" t="s">
        <v>313</v>
      </c>
      <c r="C11407">
        <v>8419936</v>
      </c>
      <c r="D11407">
        <v>10650</v>
      </c>
    </row>
    <row r="11408" spans="1:4" x14ac:dyDescent="0.25">
      <c r="A11408" t="str">
        <f>T("   691490")</f>
        <v xml:space="preserve">   691490</v>
      </c>
      <c r="B11408" t="str">
        <f>T("   Ouvrages en céramique autres que la porcelaine n.d.a.")</f>
        <v xml:space="preserve">   Ouvrages en céramique autres que la porcelaine n.d.a.</v>
      </c>
      <c r="C11408">
        <v>3000000</v>
      </c>
      <c r="D11408">
        <v>49000</v>
      </c>
    </row>
    <row r="11409" spans="1:4" x14ac:dyDescent="0.25">
      <c r="A11409" t="str">
        <f>T("   701090")</f>
        <v xml:space="preserve">   701090</v>
      </c>
      <c r="B11409" t="s">
        <v>323</v>
      </c>
      <c r="C11409">
        <v>462270</v>
      </c>
      <c r="D11409">
        <v>11971</v>
      </c>
    </row>
    <row r="11410" spans="1:4" x14ac:dyDescent="0.25">
      <c r="A11410" t="str">
        <f>T("   732399")</f>
        <v xml:space="preserve">   732399</v>
      </c>
      <c r="B11410" t="s">
        <v>368</v>
      </c>
      <c r="C11410">
        <v>3158475</v>
      </c>
      <c r="D11410">
        <v>9500</v>
      </c>
    </row>
    <row r="11411" spans="1:4" x14ac:dyDescent="0.25">
      <c r="A11411" t="str">
        <f>T("   810293")</f>
        <v xml:space="preserve">   810293</v>
      </c>
      <c r="B11411" t="str">
        <f>T("   FILS EN MOLYBDENE")</f>
        <v xml:space="preserve">   FILS EN MOLYBDENE</v>
      </c>
      <c r="C11411">
        <v>375500</v>
      </c>
      <c r="D11411">
        <v>800</v>
      </c>
    </row>
    <row r="11412" spans="1:4" x14ac:dyDescent="0.25">
      <c r="A11412" t="str">
        <f>T("   830300")</f>
        <v xml:space="preserve">   830300</v>
      </c>
      <c r="B11412" t="str">
        <f>T("   Coffres-forts, portes blindées et compartiments pour chambres fortes, coffres et cassettes de sûreté et articles simil., en métaux communs")</f>
        <v xml:space="preserve">   Coffres-forts, portes blindées et compartiments pour chambres fortes, coffres et cassettes de sûreté et articles simil., en métaux communs</v>
      </c>
      <c r="C11412">
        <v>3096000</v>
      </c>
      <c r="D11412">
        <v>7000</v>
      </c>
    </row>
    <row r="11413" spans="1:4" x14ac:dyDescent="0.25">
      <c r="A11413" t="str">
        <f>T("   841210")</f>
        <v xml:space="preserve">   841210</v>
      </c>
      <c r="B11413" t="str">
        <f>T("   Propulseurs à réaction autres que les turboréacteurs")</f>
        <v xml:space="preserve">   Propulseurs à réaction autres que les turboréacteurs</v>
      </c>
      <c r="C11413">
        <v>3940000</v>
      </c>
      <c r="D11413">
        <v>36936</v>
      </c>
    </row>
    <row r="11414" spans="1:4" x14ac:dyDescent="0.25">
      <c r="A11414" t="str">
        <f>T("   841319")</f>
        <v xml:space="preserve">   841319</v>
      </c>
      <c r="B11414" t="str">
        <f>T("   Pompes pour liquides, avec dispositif mesureur ou conçues pour en comporter (sauf pompes pour la distribution de carburants ou lubrifiants, des types utilisés dans les stations-service ou les garages)")</f>
        <v xml:space="preserve">   Pompes pour liquides, avec dispositif mesureur ou conçues pour en comporter (sauf pompes pour la distribution de carburants ou lubrifiants, des types utilisés dans les stations-service ou les garages)</v>
      </c>
      <c r="C11414">
        <v>500000</v>
      </c>
      <c r="D11414">
        <v>1500</v>
      </c>
    </row>
    <row r="11415" spans="1:4" x14ac:dyDescent="0.25">
      <c r="A11415" t="str">
        <f>T("   841610")</f>
        <v xml:space="preserve">   841610</v>
      </c>
      <c r="B11415" t="str">
        <f>T("   Brûleurs pour foyers à combustibles liquides")</f>
        <v xml:space="preserve">   Brûleurs pour foyers à combustibles liquides</v>
      </c>
      <c r="C11415">
        <v>915500</v>
      </c>
      <c r="D11415">
        <v>1200</v>
      </c>
    </row>
    <row r="11416" spans="1:4" x14ac:dyDescent="0.25">
      <c r="A11416" t="str">
        <f>T("   850433")</f>
        <v xml:space="preserve">   850433</v>
      </c>
      <c r="B11416" t="str">
        <f>T("   Transformateurs à sec, puissance &gt; 16 kVA mais &lt;= 500 kVA")</f>
        <v xml:space="preserve">   Transformateurs à sec, puissance &gt; 16 kVA mais &lt;= 500 kVA</v>
      </c>
      <c r="C11416">
        <v>1069425</v>
      </c>
      <c r="D11416">
        <v>15748</v>
      </c>
    </row>
    <row r="11417" spans="1:4" x14ac:dyDescent="0.25">
      <c r="A11417" t="str">
        <f>T("   850780")</f>
        <v xml:space="preserve">   850780</v>
      </c>
      <c r="B11417" t="str">
        <f>T("   Accumulateurs électriques (sauf hors d'usage et autres qu'au plomb, au nickel-cadmium ou au nickel-fer)")</f>
        <v xml:space="preserve">   Accumulateurs électriques (sauf hors d'usage et autres qu'au plomb, au nickel-cadmium ou au nickel-fer)</v>
      </c>
      <c r="C11417">
        <v>1500000</v>
      </c>
      <c r="D11417">
        <v>1000</v>
      </c>
    </row>
    <row r="11418" spans="1:4" x14ac:dyDescent="0.25">
      <c r="A11418" t="str">
        <f>T("   853910")</f>
        <v xml:space="preserve">   853910</v>
      </c>
      <c r="B11418" t="str">
        <f>T("   Phares et projecteurs scellés")</f>
        <v xml:space="preserve">   Phares et projecteurs scellés</v>
      </c>
      <c r="C11418">
        <v>2285823</v>
      </c>
      <c r="D11418">
        <v>1634</v>
      </c>
    </row>
    <row r="11419" spans="1:4" x14ac:dyDescent="0.25">
      <c r="A11419" t="str">
        <f>T("   854079")</f>
        <v xml:space="preserve">   854079</v>
      </c>
      <c r="B11419" t="str">
        <f>T("   Tubes pour hyperfréquences [tubes à ondes progressives, carcinotrons, par exemple] (sauf magnétrons, klystrons et tubes commandés par grille)")</f>
        <v xml:space="preserve">   Tubes pour hyperfréquences [tubes à ondes progressives, carcinotrons, par exemple] (sauf magnétrons, klystrons et tubes commandés par grille)</v>
      </c>
      <c r="C11419">
        <v>400000</v>
      </c>
      <c r="D11419">
        <v>25900</v>
      </c>
    </row>
    <row r="11420" spans="1:4" x14ac:dyDescent="0.25">
      <c r="A11420" t="str">
        <f>T("   854419")</f>
        <v xml:space="preserve">   854419</v>
      </c>
      <c r="B11420" t="str">
        <f>T("   Fils pour bobinages pour l'électricité, autres qu'en cuivre, isolés")</f>
        <v xml:space="preserve">   Fils pour bobinages pour l'électricité, autres qu'en cuivre, isolés</v>
      </c>
      <c r="C11420">
        <v>3000000</v>
      </c>
      <c r="D11420">
        <v>1500</v>
      </c>
    </row>
    <row r="11421" spans="1:4" x14ac:dyDescent="0.25">
      <c r="A11421" t="str">
        <f>T("   860290")</f>
        <v xml:space="preserve">   860290</v>
      </c>
      <c r="B11421" t="str">
        <f>T("   Locomotives et locotracteurs (à l'excl. de celles à source extérieure d'électricité ou à accumulateurs électriques et des locomotives diesel-électriques)")</f>
        <v xml:space="preserve">   Locomotives et locotracteurs (à l'excl. de celles à source extérieure d'électricité ou à accumulateurs électriques et des locomotives diesel-électriques)</v>
      </c>
      <c r="C11421">
        <v>392000</v>
      </c>
      <c r="D11421">
        <v>18500</v>
      </c>
    </row>
    <row r="11422" spans="1:4" x14ac:dyDescent="0.25">
      <c r="A11422" t="str">
        <f>T("   870322")</f>
        <v xml:space="preserve">   870322</v>
      </c>
      <c r="B11422" t="s">
        <v>480</v>
      </c>
      <c r="C11422">
        <v>1146731159</v>
      </c>
      <c r="D11422">
        <v>4236897.82</v>
      </c>
    </row>
    <row r="11423" spans="1:4" x14ac:dyDescent="0.25">
      <c r="A11423" t="str">
        <f>T("   870323")</f>
        <v xml:space="preserve">   870323</v>
      </c>
      <c r="B11423" t="s">
        <v>481</v>
      </c>
      <c r="C11423">
        <v>400000</v>
      </c>
      <c r="D11423">
        <v>7500</v>
      </c>
    </row>
    <row r="11424" spans="1:4" x14ac:dyDescent="0.25">
      <c r="A11424" t="str">
        <f>T("   870919")</f>
        <v xml:space="preserve">   870919</v>
      </c>
      <c r="B11424" t="str">
        <f>T("   CHARIOTS AUTOMOBILES NON-ÉLECTRIQUES, NON-MUNIS D'UN DISPOSITIF DE LEVAGE, DES TYPES UTILISÉS POUR LE TRANSPORT DES MARCHANDISES SUR DE COURTES DISTANCES, Y.C. LES CHARIOTS-TRACTEURS DES TYPES UTILISÉS DANS LES GARES")</f>
        <v xml:space="preserve">   CHARIOTS AUTOMOBILES NON-ÉLECTRIQUES, NON-MUNIS D'UN DISPOSITIF DE LEVAGE, DES TYPES UTILISÉS POUR LE TRANSPORT DES MARCHANDISES SUR DE COURTES DISTANCES, Y.C. LES CHARIOTS-TRACTEURS DES TYPES UTILISÉS DANS LES GARES</v>
      </c>
      <c r="C11424">
        <v>1758565</v>
      </c>
      <c r="D11424">
        <v>8820</v>
      </c>
    </row>
    <row r="11425" spans="1:4" x14ac:dyDescent="0.25">
      <c r="A11425" t="str">
        <f>T("   871110")</f>
        <v xml:space="preserve">   871110</v>
      </c>
      <c r="B11425" t="str">
        <f>T("   Cyclomoteurs, à moteur à piston alternatif, cylindrée &lt;= 50 cm³, y.c. cycles à moteur auxiliaire")</f>
        <v xml:space="preserve">   Cyclomoteurs, à moteur à piston alternatif, cylindrée &lt;= 50 cm³, y.c. cycles à moteur auxiliaire</v>
      </c>
      <c r="C11425">
        <v>20550000</v>
      </c>
      <c r="D11425">
        <v>157905</v>
      </c>
    </row>
    <row r="11426" spans="1:4" x14ac:dyDescent="0.25">
      <c r="A11426" t="str">
        <f>T("   901831")</f>
        <v xml:space="preserve">   901831</v>
      </c>
      <c r="B11426" t="str">
        <f>T("   Seringues, avec ou sans aiguilles, pour la médecine")</f>
        <v xml:space="preserve">   Seringues, avec ou sans aiguilles, pour la médecine</v>
      </c>
      <c r="C11426">
        <v>740050</v>
      </c>
      <c r="D11426">
        <v>4340</v>
      </c>
    </row>
    <row r="11427" spans="1:4" x14ac:dyDescent="0.25">
      <c r="A11427" t="str">
        <f>T("   940320")</f>
        <v xml:space="preserve">   940320</v>
      </c>
      <c r="B11427"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11427">
        <v>7166500</v>
      </c>
      <c r="D11427">
        <v>39640</v>
      </c>
    </row>
    <row r="11428" spans="1:4" x14ac:dyDescent="0.25">
      <c r="A11428" t="str">
        <f>T("   940330")</f>
        <v xml:space="preserve">   940330</v>
      </c>
      <c r="B11428" t="str">
        <f>T("   Meubles de bureau en bois (sauf sièges)")</f>
        <v xml:space="preserve">   Meubles de bureau en bois (sauf sièges)</v>
      </c>
      <c r="C11428">
        <v>3920500</v>
      </c>
      <c r="D11428">
        <v>21680</v>
      </c>
    </row>
    <row r="11429" spans="1:4" x14ac:dyDescent="0.25">
      <c r="A11429" t="str">
        <f>T("   970190")</f>
        <v xml:space="preserve">   970190</v>
      </c>
      <c r="B11429" t="str">
        <f>T("   Collages et tableautins simil.")</f>
        <v xml:space="preserve">   Collages et tableautins simil.</v>
      </c>
      <c r="C11429">
        <v>276500</v>
      </c>
      <c r="D11429">
        <v>800</v>
      </c>
    </row>
    <row r="11430" spans="1:4" x14ac:dyDescent="0.25">
      <c r="A11430" t="str">
        <f>T("   970300")</f>
        <v xml:space="preserve">   970300</v>
      </c>
      <c r="B11430" t="str">
        <f>T("   Productions originales de l'art statuaire ou de la sculpture, en toutes matières")</f>
        <v xml:space="preserve">   Productions originales de l'art statuaire ou de la sculpture, en toutes matières</v>
      </c>
      <c r="C11430">
        <v>2000000</v>
      </c>
      <c r="D11430">
        <v>16000</v>
      </c>
    </row>
    <row r="11431" spans="1:4" x14ac:dyDescent="0.25">
      <c r="A11431" t="str">
        <f>T("ZA")</f>
        <v>ZA</v>
      </c>
      <c r="B11431" t="str">
        <f>T("Afrique du Sud")</f>
        <v>Afrique du Sud</v>
      </c>
    </row>
    <row r="11432" spans="1:4" x14ac:dyDescent="0.25">
      <c r="A11432" t="str">
        <f>T("   ZZ_Total_Produit_SH6")</f>
        <v xml:space="preserve">   ZZ_Total_Produit_SH6</v>
      </c>
      <c r="B11432" t="str">
        <f>T("   ZZ_Total_Produit_SH6")</f>
        <v xml:space="preserve">   ZZ_Total_Produit_SH6</v>
      </c>
      <c r="C11432">
        <v>10397652620</v>
      </c>
      <c r="D11432">
        <v>33474941</v>
      </c>
    </row>
    <row r="11433" spans="1:4" x14ac:dyDescent="0.25">
      <c r="A11433" t="str">
        <f>T("   040210")</f>
        <v xml:space="preserve">   040210</v>
      </c>
      <c r="B11433" t="str">
        <f>T("   Lait et crème de lait, en poudre, en granulés ou sous d'autres formes solides, d'une teneur en poids de matières grasses &lt;= 1,5%")</f>
        <v xml:space="preserve">   Lait et crème de lait, en poudre, en granulés ou sous d'autres formes solides, d'une teneur en poids de matières grasses &lt;= 1,5%</v>
      </c>
      <c r="C11433">
        <v>503000</v>
      </c>
      <c r="D11433">
        <v>2500</v>
      </c>
    </row>
    <row r="11434" spans="1:4" x14ac:dyDescent="0.25">
      <c r="A11434" t="str">
        <f>T("   070810")</f>
        <v xml:space="preserve">   070810</v>
      </c>
      <c r="B11434" t="str">
        <f>T("   Pois 'Pisum sativum', écossés ou non, à l'état frais ou réfrigéré")</f>
        <v xml:space="preserve">   Pois 'Pisum sativum', écossés ou non, à l'état frais ou réfrigéré</v>
      </c>
      <c r="C11434">
        <v>520832</v>
      </c>
      <c r="D11434">
        <v>1604</v>
      </c>
    </row>
    <row r="11435" spans="1:4" x14ac:dyDescent="0.25">
      <c r="A11435" t="str">
        <f>T("   080510")</f>
        <v xml:space="preserve">   080510</v>
      </c>
      <c r="B11435" t="str">
        <f>T("   Oranges, fraîches ou sèches")</f>
        <v xml:space="preserve">   Oranges, fraîches ou sèches</v>
      </c>
      <c r="C11435">
        <v>3847206</v>
      </c>
      <c r="D11435">
        <v>14160</v>
      </c>
    </row>
    <row r="11436" spans="1:4" x14ac:dyDescent="0.25">
      <c r="A11436" t="str">
        <f>T("   080520")</f>
        <v xml:space="preserve">   080520</v>
      </c>
      <c r="B11436" t="str">
        <f>T("   Mandarines, y.c. les tangerines et les satsumas; clémentines, wilkings et hybrides simil. d'agrumes, frais ou secs")</f>
        <v xml:space="preserve">   Mandarines, y.c. les tangerines et les satsumas; clémentines, wilkings et hybrides simil. d'agrumes, frais ou secs</v>
      </c>
      <c r="C11436">
        <v>1966568</v>
      </c>
      <c r="D11436">
        <v>7920</v>
      </c>
    </row>
    <row r="11437" spans="1:4" x14ac:dyDescent="0.25">
      <c r="A11437" t="str">
        <f>T("   080540")</f>
        <v xml:space="preserve">   080540</v>
      </c>
      <c r="B11437" t="str">
        <f>T("   Pamplemousses et pomélos, frais ou secs")</f>
        <v xml:space="preserve">   Pamplemousses et pomélos, frais ou secs</v>
      </c>
      <c r="C11437">
        <v>118073</v>
      </c>
      <c r="D11437">
        <v>882</v>
      </c>
    </row>
    <row r="11438" spans="1:4" x14ac:dyDescent="0.25">
      <c r="A11438" t="str">
        <f>T("   080550")</f>
        <v xml:space="preserve">   080550</v>
      </c>
      <c r="B11438" t="s">
        <v>21</v>
      </c>
      <c r="C11438">
        <v>225650</v>
      </c>
      <c r="D11438">
        <v>1568</v>
      </c>
    </row>
    <row r="11439" spans="1:4" x14ac:dyDescent="0.25">
      <c r="A11439" t="str">
        <f>T("   080610")</f>
        <v xml:space="preserve">   080610</v>
      </c>
      <c r="B11439" t="str">
        <f>T("   Raisins, frais")</f>
        <v xml:space="preserve">   Raisins, frais</v>
      </c>
      <c r="C11439">
        <v>110007682</v>
      </c>
      <c r="D11439">
        <v>249391</v>
      </c>
    </row>
    <row r="11440" spans="1:4" x14ac:dyDescent="0.25">
      <c r="A11440" t="str">
        <f>T("   080810")</f>
        <v xml:space="preserve">   080810</v>
      </c>
      <c r="B11440" t="str">
        <f>T("   Pommes, fraîches")</f>
        <v xml:space="preserve">   Pommes, fraîches</v>
      </c>
      <c r="C11440">
        <v>5901320299</v>
      </c>
      <c r="D11440">
        <v>18672480</v>
      </c>
    </row>
    <row r="11441" spans="1:4" x14ac:dyDescent="0.25">
      <c r="A11441" t="str">
        <f>T("   080820")</f>
        <v xml:space="preserve">   080820</v>
      </c>
      <c r="B11441" t="str">
        <f>T("   Poires et coings, frais")</f>
        <v xml:space="preserve">   Poires et coings, frais</v>
      </c>
      <c r="C11441">
        <v>137280713</v>
      </c>
      <c r="D11441">
        <v>434981</v>
      </c>
    </row>
    <row r="11442" spans="1:4" x14ac:dyDescent="0.25">
      <c r="A11442" t="str">
        <f>T("   080930")</f>
        <v xml:space="preserve">   080930</v>
      </c>
      <c r="B11442" t="str">
        <f>T("   Pêches, y.c. les brugnons et nectarines, fraîches")</f>
        <v xml:space="preserve">   Pêches, y.c. les brugnons et nectarines, fraîches</v>
      </c>
      <c r="C11442">
        <v>1111853</v>
      </c>
      <c r="D11442">
        <v>2224</v>
      </c>
    </row>
    <row r="11443" spans="1:4" x14ac:dyDescent="0.25">
      <c r="A11443" t="str">
        <f>T("   080940")</f>
        <v xml:space="preserve">   080940</v>
      </c>
      <c r="B11443" t="str">
        <f>T("   Prunes et prunelles, fraîches")</f>
        <v xml:space="preserve">   Prunes et prunelles, fraîches</v>
      </c>
      <c r="C11443">
        <v>15079864</v>
      </c>
      <c r="D11443">
        <v>39075</v>
      </c>
    </row>
    <row r="11444" spans="1:4" x14ac:dyDescent="0.25">
      <c r="A11444" t="str">
        <f>T("   081090")</f>
        <v xml:space="preserve">   081090</v>
      </c>
      <c r="B11444" t="s">
        <v>23</v>
      </c>
      <c r="C11444">
        <v>1691066</v>
      </c>
      <c r="D11444">
        <v>10701</v>
      </c>
    </row>
    <row r="11445" spans="1:4" x14ac:dyDescent="0.25">
      <c r="A11445" t="str">
        <f>T("   081350")</f>
        <v xml:space="preserve">   081350</v>
      </c>
      <c r="B11445" t="str">
        <f>T("   Mélanges de fruits séchés comestibles ou de fruits à coques comestibles")</f>
        <v xml:space="preserve">   Mélanges de fruits séchés comestibles ou de fruits à coques comestibles</v>
      </c>
      <c r="C11445">
        <v>1038883</v>
      </c>
      <c r="D11445">
        <v>4265</v>
      </c>
    </row>
    <row r="11446" spans="1:4" x14ac:dyDescent="0.25">
      <c r="A11446" t="str">
        <f>T("   090190")</f>
        <v xml:space="preserve">   090190</v>
      </c>
      <c r="B11446" t="str">
        <f>T("   Coques et pellicules de café; succédanés du café contenant du café, quelles que soient les proportions du mélange")</f>
        <v xml:space="preserve">   Coques et pellicules de café; succédanés du café contenant du café, quelles que soient les proportions du mélange</v>
      </c>
      <c r="C11446">
        <v>65596</v>
      </c>
      <c r="D11446">
        <v>287</v>
      </c>
    </row>
    <row r="11447" spans="1:4" x14ac:dyDescent="0.25">
      <c r="A11447" t="str">
        <f>T("   180690")</f>
        <v xml:space="preserve">   180690</v>
      </c>
      <c r="B11447" t="str">
        <f>T("   Chocolat et autres préparations alimentaires contenant du cacao, en récipients ou en emballages immédiats d'un contenu &lt;= 2 kg (à l'excl. de la poudre de cacao et des produits présentés en tablettes, barres ou bâtons)")</f>
        <v xml:space="preserve">   Chocolat et autres préparations alimentaires contenant du cacao, en récipients ou en emballages immédiats d'un contenu &lt;= 2 kg (à l'excl. de la poudre de cacao et des produits présentés en tablettes, barres ou bâtons)</v>
      </c>
      <c r="C11447">
        <v>207284</v>
      </c>
      <c r="D11447">
        <v>916</v>
      </c>
    </row>
    <row r="11448" spans="1:4" x14ac:dyDescent="0.25">
      <c r="A11448" t="str">
        <f>T("   190531")</f>
        <v xml:space="preserve">   190531</v>
      </c>
      <c r="B11448" t="str">
        <f>T("   Biscuits additionnés d'édulcorants")</f>
        <v xml:space="preserve">   Biscuits additionnés d'édulcorants</v>
      </c>
      <c r="C11448">
        <v>5693076</v>
      </c>
      <c r="D11448">
        <v>4628</v>
      </c>
    </row>
    <row r="11449" spans="1:4" x14ac:dyDescent="0.25">
      <c r="A11449" t="str">
        <f>T("   200912")</f>
        <v xml:space="preserve">   200912</v>
      </c>
      <c r="B11449" t="str">
        <f>T("   Jus d'orange, non fermentés, sans addition d'alcool, avec ou sans addition de sucre ou d'autres édulcorants, d'une valeur Brix &lt;= 20 à 20°C (à l'excl. des jus congelés)")</f>
        <v xml:space="preserve">   Jus d'orange, non fermentés, sans addition d'alcool, avec ou sans addition de sucre ou d'autres édulcorants, d'une valeur Brix &lt;= 20 à 20°C (à l'excl. des jus congelés)</v>
      </c>
      <c r="C11449">
        <v>861276</v>
      </c>
      <c r="D11449">
        <v>1147</v>
      </c>
    </row>
    <row r="11450" spans="1:4" x14ac:dyDescent="0.25">
      <c r="A11450" t="str">
        <f>T("   200919")</f>
        <v xml:space="preserve">   200919</v>
      </c>
      <c r="B11450" t="str">
        <f>T("   JUS D'ORANGE, NON-FERMENTÉS, SANS ADDITION D'ALCOOL, AVEC OU SANS ADDITION DE SUCRE OU D'AUTRES ÉDULCORANTS (À L'EXCL. DES JUS CONGELÉS ET DES JUS D'UNE VALEUR BRIX &lt;= 20 À 20°C)")</f>
        <v xml:space="preserve">   JUS D'ORANGE, NON-FERMENTÉS, SANS ADDITION D'ALCOOL, AVEC OU SANS ADDITION DE SUCRE OU D'AUTRES ÉDULCORANTS (À L'EXCL. DES JUS CONGELÉS ET DES JUS D'UNE VALEUR BRIX &lt;= 20 À 20°C)</v>
      </c>
      <c r="C11450">
        <v>10994409</v>
      </c>
      <c r="D11450">
        <v>22748</v>
      </c>
    </row>
    <row r="11451" spans="1:4" x14ac:dyDescent="0.25">
      <c r="A11451" t="str">
        <f>T("   200929")</f>
        <v xml:space="preserve">   200929</v>
      </c>
      <c r="B11451" t="str">
        <f>T("   JUS DE PAMPLEMOUSSE OU DE POMELO, NON-FERMENTÉS, SANS ADDITION D'ALCOOL, AVEC OU SANS ADDITION DE SUCRE OU D'AUTRES ÉDULCORANTS, D'UNE VALEUR BRIX &gt; 20 À 20°C")</f>
        <v xml:space="preserve">   JUS DE PAMPLEMOUSSE OU DE POMELO, NON-FERMENTÉS, SANS ADDITION D'ALCOOL, AVEC OU SANS ADDITION DE SUCRE OU D'AUTRES ÉDULCORANTS, D'UNE VALEUR BRIX &gt; 20 À 20°C</v>
      </c>
      <c r="C11451">
        <v>10604181</v>
      </c>
      <c r="D11451">
        <v>21694</v>
      </c>
    </row>
    <row r="11452" spans="1:4" x14ac:dyDescent="0.25">
      <c r="A11452" t="str">
        <f>T("   200949")</f>
        <v xml:space="preserve">   200949</v>
      </c>
      <c r="B11452" t="str">
        <f>T("   JUS D'ANANAS, NON-FERMENTÉS, SANS ADDITION D'ALCOOL, AVEC OU SANS ADDITION DE SUCRE OU D'AUTRES ÉDULCORANTS, D'UNE VALEUR BRIX &gt; 20 À 20°C")</f>
        <v xml:space="preserve">   JUS D'ANANAS, NON-FERMENTÉS, SANS ADDITION D'ALCOOL, AVEC OU SANS ADDITION DE SUCRE OU D'AUTRES ÉDULCORANTS, D'UNE VALEUR BRIX &gt; 20 À 20°C</v>
      </c>
      <c r="C11452">
        <v>835693</v>
      </c>
      <c r="D11452">
        <v>1510</v>
      </c>
    </row>
    <row r="11453" spans="1:4" x14ac:dyDescent="0.25">
      <c r="A11453" t="str">
        <f>T("   200969")</f>
        <v xml:space="preserve">   200969</v>
      </c>
      <c r="B11453" t="str">
        <f>T("   JUS DE RAISIN - Y.C. LES MOÛTS DE RAISIN -, NON-FERMENTÉS, SANS ADDITION D'ALCOOL, AVEC OU SANS ADDITION DE SUCRE OU D'AUTRES ÉDULCORANTS, D'UNE VALEUR BRIX &gt; 30 À 20°C")</f>
        <v xml:space="preserve">   JUS DE RAISIN - Y.C. LES MOÛTS DE RAISIN -, NON-FERMENTÉS, SANS ADDITION D'ALCOOL, AVEC OU SANS ADDITION DE SUCRE OU D'AUTRES ÉDULCORANTS, D'UNE VALEUR BRIX &gt; 30 À 20°C</v>
      </c>
      <c r="C11453">
        <v>35710407</v>
      </c>
      <c r="D11453">
        <v>184722</v>
      </c>
    </row>
    <row r="11454" spans="1:4" x14ac:dyDescent="0.25">
      <c r="A11454" t="str">
        <f>T("   200979")</f>
        <v xml:space="preserve">   200979</v>
      </c>
      <c r="B11454" t="str">
        <f>T("   JUS DE POMME, NON-FERMENTÉS, SANS ADDITION D'ALCOOL, AVEC OU SANS ADDITION DE SUCRE OU D'AUTRES ÉDULCORANTS, D'UNE VALEUR BRIX &gt; 20 À 20°C")</f>
        <v xml:space="preserve">   JUS DE POMME, NON-FERMENTÉS, SANS ADDITION D'ALCOOL, AVEC OU SANS ADDITION DE SUCRE OU D'AUTRES ÉDULCORANTS, D'UNE VALEUR BRIX &gt; 20 À 20°C</v>
      </c>
      <c r="C11454">
        <v>9197783</v>
      </c>
      <c r="D11454">
        <v>16216</v>
      </c>
    </row>
    <row r="11455" spans="1:4" x14ac:dyDescent="0.25">
      <c r="A11455" t="str">
        <f>T("   200980")</f>
        <v xml:space="preserve">   200980</v>
      </c>
      <c r="B11455"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11455">
        <v>36909947</v>
      </c>
      <c r="D11455">
        <v>121367</v>
      </c>
    </row>
    <row r="11456" spans="1:4" x14ac:dyDescent="0.25">
      <c r="A11456" t="str">
        <f>T("   200990")</f>
        <v xml:space="preserve">   200990</v>
      </c>
      <c r="B11456"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11456">
        <v>3645825</v>
      </c>
      <c r="D11456">
        <v>4523</v>
      </c>
    </row>
    <row r="11457" spans="1:4" x14ac:dyDescent="0.25">
      <c r="A11457" t="str">
        <f>T("   210390")</f>
        <v xml:space="preserve">   210390</v>
      </c>
      <c r="B11457"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11457">
        <v>595612</v>
      </c>
      <c r="D11457">
        <v>2635</v>
      </c>
    </row>
    <row r="11458" spans="1:4" x14ac:dyDescent="0.25">
      <c r="A11458" t="str">
        <f>T("   210690")</f>
        <v xml:space="preserve">   210690</v>
      </c>
      <c r="B11458" t="str">
        <f>T("   Préparations alimentaires, n.d.a.")</f>
        <v xml:space="preserve">   Préparations alimentaires, n.d.a.</v>
      </c>
      <c r="C11458">
        <v>6485000</v>
      </c>
      <c r="D11458">
        <v>23638</v>
      </c>
    </row>
    <row r="11459" spans="1:4" x14ac:dyDescent="0.25">
      <c r="A11459" t="str">
        <f>T("   220421")</f>
        <v xml:space="preserve">   220421</v>
      </c>
      <c r="B11459" t="str">
        <f>T("   Vins de raisins frais, y.c. les vins enrichis en alcool (à l'excl. des vins mousseux); moûts de raisins dont la fermentation a été empêchée ou arrêtée par addition d'alcool, en récipients d'une contenance &lt;= 2 l")</f>
        <v xml:space="preserve">   Vins de raisins frais, y.c. les vins enrichis en alcool (à l'excl. des vins mousseux); moûts de raisins dont la fermentation a été empêchée ou arrêtée par addition d'alcool, en récipients d'une contenance &lt;= 2 l</v>
      </c>
      <c r="C11459">
        <v>38075854</v>
      </c>
      <c r="D11459">
        <v>53946</v>
      </c>
    </row>
    <row r="11460" spans="1:4" x14ac:dyDescent="0.25">
      <c r="A11460" t="str">
        <f>T("   220429")</f>
        <v xml:space="preserve">   220429</v>
      </c>
      <c r="B11460" t="str">
        <f>T("   VINS DE RAISINS FRAIS, Y.C. LES VINS ENRICHIS EN ALCOOL, ET MOÛTS DE RAISINS DONT LA FERMENTATION A ÉTÉ EMPÊCHÉE OU ARRÊTÉE PAR ADDITION D'ALCOOL, EN RÉCIPIENTS D'UNE CONTENANCE &gt; 2 L (À L'EXCL. DES VINS MOUSSEUX)")</f>
        <v xml:space="preserve">   VINS DE RAISINS FRAIS, Y.C. LES VINS ENRICHIS EN ALCOOL, ET MOÛTS DE RAISINS DONT LA FERMENTATION A ÉTÉ EMPÊCHÉE OU ARRÊTÉE PAR ADDITION D'ALCOOL, EN RÉCIPIENTS D'UNE CONTENANCE &gt; 2 L (À L'EXCL. DES VINS MOUSSEUX)</v>
      </c>
      <c r="C11460">
        <v>33008200</v>
      </c>
      <c r="D11460">
        <v>109007</v>
      </c>
    </row>
    <row r="11461" spans="1:4" x14ac:dyDescent="0.25">
      <c r="A11461" t="str">
        <f>T("   220820")</f>
        <v xml:space="preserve">   220820</v>
      </c>
      <c r="B11461" t="str">
        <f>T("   Eaux-de-vie de vin ou de marc de raisins")</f>
        <v xml:space="preserve">   Eaux-de-vie de vin ou de marc de raisins</v>
      </c>
      <c r="C11461">
        <v>39358</v>
      </c>
      <c r="D11461">
        <v>24</v>
      </c>
    </row>
    <row r="11462" spans="1:4" x14ac:dyDescent="0.25">
      <c r="A11462" t="str">
        <f>T("   220870")</f>
        <v xml:space="preserve">   220870</v>
      </c>
      <c r="B11462" t="str">
        <f>T("   LIQUEURS")</f>
        <v xml:space="preserve">   LIQUEURS</v>
      </c>
      <c r="C11462">
        <v>401448</v>
      </c>
      <c r="D11462">
        <v>1780</v>
      </c>
    </row>
    <row r="11463" spans="1:4" x14ac:dyDescent="0.25">
      <c r="A11463" t="str">
        <f>T("   220890")</f>
        <v xml:space="preserve">   220890</v>
      </c>
      <c r="B11463" t="s">
        <v>61</v>
      </c>
      <c r="C11463">
        <v>1359149</v>
      </c>
      <c r="D11463">
        <v>5401</v>
      </c>
    </row>
    <row r="11464" spans="1:4" x14ac:dyDescent="0.25">
      <c r="A11464" t="str">
        <f>T("   230910")</f>
        <v xml:space="preserve">   230910</v>
      </c>
      <c r="B11464" t="str">
        <f>T("   Aliments pour chiens ou chats, conditionnés pour la vente au détail")</f>
        <v xml:space="preserve">   Aliments pour chiens ou chats, conditionnés pour la vente au détail</v>
      </c>
      <c r="C11464">
        <v>108889</v>
      </c>
      <c r="D11464">
        <v>481</v>
      </c>
    </row>
    <row r="11465" spans="1:4" x14ac:dyDescent="0.25">
      <c r="A11465" t="str">
        <f>T("   252329")</f>
        <v xml:space="preserve">   252329</v>
      </c>
      <c r="B11465" t="str">
        <f>T("   Ciment Portland normal ou modéré (à l'excl. des ciments Portland blancs, même colorés artificiellement)")</f>
        <v xml:space="preserve">   Ciment Portland normal ou modéré (à l'excl. des ciments Portland blancs, même colorés artificiellement)</v>
      </c>
      <c r="C11465">
        <v>408631</v>
      </c>
      <c r="D11465">
        <v>5336</v>
      </c>
    </row>
    <row r="11466" spans="1:4" x14ac:dyDescent="0.25">
      <c r="A11466" t="str">
        <f>T("   271011")</f>
        <v xml:space="preserve">   271011</v>
      </c>
      <c r="B11466"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11466">
        <v>83490066</v>
      </c>
      <c r="D11466">
        <v>227332</v>
      </c>
    </row>
    <row r="11467" spans="1:4" x14ac:dyDescent="0.25">
      <c r="A11467" t="str">
        <f>T("   271019")</f>
        <v xml:space="preserve">   271019</v>
      </c>
      <c r="B11467" t="str">
        <f>T("   Huiles moyennes et préparations, de pétrole ou de minéraux bitumineux, n.d.a.")</f>
        <v xml:space="preserve">   Huiles moyennes et préparations, de pétrole ou de minéraux bitumineux, n.d.a.</v>
      </c>
      <c r="C11467">
        <v>27931050</v>
      </c>
      <c r="D11467">
        <v>3764452</v>
      </c>
    </row>
    <row r="11468" spans="1:4" x14ac:dyDescent="0.25">
      <c r="A11468" t="str">
        <f>T("   271500")</f>
        <v xml:space="preserve">   271500</v>
      </c>
      <c r="B11468" t="str">
        <f>T("   Mastics bitumineux, 'cut-backs' et autres mélanges bitumineux à base d'asphalte ou de bitume naturels, de bitume de pétrole, de goudron minéral ou de brai de goudron minéral")</f>
        <v xml:space="preserve">   Mastics bitumineux, 'cut-backs' et autres mélanges bitumineux à base d'asphalte ou de bitume naturels, de bitume de pétrole, de goudron minéral ou de brai de goudron minéral</v>
      </c>
      <c r="C11468">
        <v>17409106</v>
      </c>
      <c r="D11468">
        <v>62600</v>
      </c>
    </row>
    <row r="11469" spans="1:4" x14ac:dyDescent="0.25">
      <c r="A11469" t="str">
        <f>T("   280700")</f>
        <v xml:space="preserve">   280700</v>
      </c>
      <c r="B11469" t="str">
        <f>T("   Acide sulfurique; oléum")</f>
        <v xml:space="preserve">   Acide sulfurique; oléum</v>
      </c>
      <c r="C11469">
        <v>7757801</v>
      </c>
      <c r="D11469">
        <v>55112</v>
      </c>
    </row>
    <row r="11470" spans="1:4" x14ac:dyDescent="0.25">
      <c r="A11470" t="str">
        <f>T("   300490")</f>
        <v xml:space="preserve">   300490</v>
      </c>
      <c r="B11470" t="s">
        <v>80</v>
      </c>
      <c r="C11470">
        <v>15625</v>
      </c>
      <c r="D11470">
        <v>240</v>
      </c>
    </row>
    <row r="11471" spans="1:4" x14ac:dyDescent="0.25">
      <c r="A11471" t="str">
        <f>T("   320611")</f>
        <v xml:space="preserve">   320611</v>
      </c>
      <c r="B11471" t="s">
        <v>93</v>
      </c>
      <c r="C11471">
        <v>36193905</v>
      </c>
      <c r="D11471">
        <v>20000</v>
      </c>
    </row>
    <row r="11472" spans="1:4" x14ac:dyDescent="0.25">
      <c r="A11472" t="str">
        <f>T("   321000")</f>
        <v xml:space="preserve">   321000</v>
      </c>
      <c r="B11472" t="str">
        <f>T("   Peintures et vernis (à l'excl. des produits à base de polymères synthétiques ou de polymères naturels modifiés); pigments à l'eau préparés des types utilisés pour le finissage des cuirs")</f>
        <v xml:space="preserve">   Peintures et vernis (à l'excl. des produits à base de polymères synthétiques ou de polymères naturels modifiés); pigments à l'eau préparés des types utilisés pour le finissage des cuirs</v>
      </c>
      <c r="C11472">
        <v>53767</v>
      </c>
      <c r="D11472">
        <v>188</v>
      </c>
    </row>
    <row r="11473" spans="1:4" x14ac:dyDescent="0.25">
      <c r="A11473" t="str">
        <f>T("   330300")</f>
        <v xml:space="preserve">   330300</v>
      </c>
      <c r="B11473" t="str">
        <f>T("   Parfums et eaux de toilette (à l'excl. des préparations pour l'après-rasage [lotions after-shave] et des désodorisants corporels)")</f>
        <v xml:space="preserve">   Parfums et eaux de toilette (à l'excl. des préparations pour l'après-rasage [lotions after-shave] et des désodorisants corporels)</v>
      </c>
      <c r="C11473">
        <v>1193192</v>
      </c>
      <c r="D11473">
        <v>5273</v>
      </c>
    </row>
    <row r="11474" spans="1:4" x14ac:dyDescent="0.25">
      <c r="A11474" t="str">
        <f>T("   330499")</f>
        <v xml:space="preserve">   330499</v>
      </c>
      <c r="B11474" t="s">
        <v>101</v>
      </c>
      <c r="C11474">
        <v>16004210</v>
      </c>
      <c r="D11474">
        <v>63340</v>
      </c>
    </row>
    <row r="11475" spans="1:4" x14ac:dyDescent="0.25">
      <c r="A11475" t="str">
        <f>T("   330520")</f>
        <v xml:space="preserve">   330520</v>
      </c>
      <c r="B11475" t="str">
        <f>T("   Préparations pour l'ondulation ou le défrisage permanents")</f>
        <v xml:space="preserve">   Préparations pour l'ondulation ou le défrisage permanents</v>
      </c>
      <c r="C11475">
        <v>6560</v>
      </c>
      <c r="D11475">
        <v>10</v>
      </c>
    </row>
    <row r="11476" spans="1:4" x14ac:dyDescent="0.25">
      <c r="A11476" t="str">
        <f>T("   330590")</f>
        <v xml:space="preserve">   330590</v>
      </c>
      <c r="B11476" t="str">
        <f>T("   PRÉPARATIONS CAPILLAIRES (À L'EXCL. DES SHAMPOOINGS, DES LAQUES POUR CHEVEUX ET DES PRÉPARATIONS POUR L'ONDULATION OU LE DÉFRISAGE PERMANENTS)")</f>
        <v xml:space="preserve">   PRÉPARATIONS CAPILLAIRES (À L'EXCL. DES SHAMPOOINGS, DES LAQUES POUR CHEVEUX ET DES PRÉPARATIONS POUR L'ONDULATION OU LE DÉFRISAGE PERMANENTS)</v>
      </c>
      <c r="C11476">
        <v>101674</v>
      </c>
      <c r="D11476">
        <v>100</v>
      </c>
    </row>
    <row r="11477" spans="1:4" x14ac:dyDescent="0.25">
      <c r="A11477" t="str">
        <f>T("   330610")</f>
        <v xml:space="preserve">   330610</v>
      </c>
      <c r="B11477" t="str">
        <f>T("   Dentifrices, préparés, même des types utilisés par les dentistes")</f>
        <v xml:space="preserve">   Dentifrices, préparés, même des types utilisés par les dentistes</v>
      </c>
      <c r="C11477">
        <v>355517</v>
      </c>
      <c r="D11477">
        <v>3000</v>
      </c>
    </row>
    <row r="11478" spans="1:4" x14ac:dyDescent="0.25">
      <c r="A11478" t="str">
        <f>T("   330720")</f>
        <v xml:space="preserve">   330720</v>
      </c>
      <c r="B11478" t="str">
        <f>T("   Désodorisants corporels et antisudoraux, préparés")</f>
        <v xml:space="preserve">   Désodorisants corporels et antisudoraux, préparés</v>
      </c>
      <c r="C11478">
        <v>2347228</v>
      </c>
      <c r="D11478">
        <v>8487</v>
      </c>
    </row>
    <row r="11479" spans="1:4" x14ac:dyDescent="0.25">
      <c r="A11479" t="str">
        <f>T("   380300")</f>
        <v xml:space="preserve">   380300</v>
      </c>
      <c r="B11479" t="str">
        <f>T("   Tall oil, même raffiné")</f>
        <v xml:space="preserve">   Tall oil, même raffiné</v>
      </c>
      <c r="C11479">
        <v>873739</v>
      </c>
      <c r="D11479">
        <v>606</v>
      </c>
    </row>
    <row r="11480" spans="1:4" x14ac:dyDescent="0.25">
      <c r="A11480" t="str">
        <f>T("   382490")</f>
        <v xml:space="preserve">   382490</v>
      </c>
      <c r="B11480" t="str">
        <f>T("   Produits chimiques et préparations des industries chimiques ou des industries connexes, y.c. celles consistant en mélanges de produits naturels, n.d.a.")</f>
        <v xml:space="preserve">   Produits chimiques et préparations des industries chimiques ou des industries connexes, y.c. celles consistant en mélanges de produits naturels, n.d.a.</v>
      </c>
      <c r="C11480">
        <v>20877443</v>
      </c>
      <c r="D11480">
        <v>66050</v>
      </c>
    </row>
    <row r="11481" spans="1:4" x14ac:dyDescent="0.25">
      <c r="A11481" t="str">
        <f>T("   390410")</f>
        <v xml:space="preserve">   390410</v>
      </c>
      <c r="B11481" t="str">
        <f>T("   Poly[chlorure de vinyle], sous formes primaires, non mélangé à d'autres substances")</f>
        <v xml:space="preserve">   Poly[chlorure de vinyle], sous formes primaires, non mélangé à d'autres substances</v>
      </c>
      <c r="C11481">
        <v>14977358</v>
      </c>
      <c r="D11481">
        <v>20123</v>
      </c>
    </row>
    <row r="11482" spans="1:4" x14ac:dyDescent="0.25">
      <c r="A11482" t="str">
        <f>T("   390690")</f>
        <v xml:space="preserve">   390690</v>
      </c>
      <c r="B11482" t="str">
        <f>T("   Polymères acryliques, sous formes primaires (à l'excl. du poly[méthacrylate de méthyle])")</f>
        <v xml:space="preserve">   Polymères acryliques, sous formes primaires (à l'excl. du poly[méthacrylate de méthyle])</v>
      </c>
      <c r="C11482">
        <v>11576382</v>
      </c>
      <c r="D11482">
        <v>15990</v>
      </c>
    </row>
    <row r="11483" spans="1:4" x14ac:dyDescent="0.25">
      <c r="A11483" t="str">
        <f>T("   392310")</f>
        <v xml:space="preserve">   392310</v>
      </c>
      <c r="B11483" t="str">
        <f>T("   Boîtes, caisses, casiers et articles simil. pour le transport ou l'emballage, en matières plastiques")</f>
        <v xml:space="preserve">   Boîtes, caisses, casiers et articles simil. pour le transport ou l'emballage, en matières plastiques</v>
      </c>
      <c r="C11483">
        <v>26265</v>
      </c>
      <c r="D11483">
        <v>52</v>
      </c>
    </row>
    <row r="11484" spans="1:4" x14ac:dyDescent="0.25">
      <c r="A11484" t="str">
        <f>T("   392329")</f>
        <v xml:space="preserve">   392329</v>
      </c>
      <c r="B11484" t="str">
        <f>T("   Sacs, sachets, pochettes et cornets, en matières plastiques (autres que les polymères de l'éthylène)")</f>
        <v xml:space="preserve">   Sacs, sachets, pochettes et cornets, en matières plastiques (autres que les polymères de l'éthylène)</v>
      </c>
      <c r="C11484">
        <v>7120446</v>
      </c>
      <c r="D11484">
        <v>4502</v>
      </c>
    </row>
    <row r="11485" spans="1:4" x14ac:dyDescent="0.25">
      <c r="A11485" t="str">
        <f>T("   392330")</f>
        <v xml:space="preserve">   392330</v>
      </c>
      <c r="B11485" t="str">
        <f>T("   Bonbonnes, bouteilles, flacons et articles simil. pour le transport ou l'emballage, en matières plastiques")</f>
        <v xml:space="preserve">   Bonbonnes, bouteilles, flacons et articles simil. pour le transport ou l'emballage, en matières plastiques</v>
      </c>
      <c r="C11485">
        <v>283359180</v>
      </c>
      <c r="D11485">
        <v>224549</v>
      </c>
    </row>
    <row r="11486" spans="1:4" x14ac:dyDescent="0.25">
      <c r="A11486" t="str">
        <f>T("   392390")</f>
        <v xml:space="preserve">   392390</v>
      </c>
      <c r="B11486" t="s">
        <v>150</v>
      </c>
      <c r="C11486">
        <v>6781971</v>
      </c>
      <c r="D11486">
        <v>6224</v>
      </c>
    </row>
    <row r="11487" spans="1:4" x14ac:dyDescent="0.25">
      <c r="A11487" t="str">
        <f>T("   392690")</f>
        <v xml:space="preserve">   392690</v>
      </c>
      <c r="B11487" t="str">
        <f>T("   Ouvrages en matières plastiques et ouvrages en autres matières du n° 3901 à 3914, n.d.a.")</f>
        <v xml:space="preserve">   Ouvrages en matières plastiques et ouvrages en autres matières du n° 3901 à 3914, n.d.a.</v>
      </c>
      <c r="C11487">
        <v>300000</v>
      </c>
      <c r="D11487">
        <v>3000</v>
      </c>
    </row>
    <row r="11488" spans="1:4" x14ac:dyDescent="0.25">
      <c r="A11488" t="str">
        <f>T("   401032")</f>
        <v xml:space="preserve">   401032</v>
      </c>
      <c r="B11488" t="str">
        <f>T("   Courroies de transmission sans fin de section trapézoïdale, en caoutchouc vulcanisé, d'une circonférence extérieure &gt; 60 cm mais &lt;= 180 cm (sauf striées)")</f>
        <v xml:space="preserve">   Courroies de transmission sans fin de section trapézoïdale, en caoutchouc vulcanisé, d'une circonférence extérieure &gt; 60 cm mais &lt;= 180 cm (sauf striées)</v>
      </c>
      <c r="C11488">
        <v>1562681</v>
      </c>
      <c r="D11488">
        <v>90</v>
      </c>
    </row>
    <row r="11489" spans="1:4" x14ac:dyDescent="0.25">
      <c r="A11489" t="str">
        <f>T("   401110")</f>
        <v xml:space="preserve">   401110</v>
      </c>
      <c r="B11489"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11489">
        <v>14759100</v>
      </c>
      <c r="D11489">
        <v>4435</v>
      </c>
    </row>
    <row r="11490" spans="1:4" x14ac:dyDescent="0.25">
      <c r="A11490" t="str">
        <f>T("   401120")</f>
        <v xml:space="preserve">   401120</v>
      </c>
      <c r="B11490"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11490">
        <v>4530060</v>
      </c>
      <c r="D11490">
        <v>1373</v>
      </c>
    </row>
    <row r="11491" spans="1:4" x14ac:dyDescent="0.25">
      <c r="A11491" t="str">
        <f>T("   401693")</f>
        <v xml:space="preserve">   401693</v>
      </c>
      <c r="B11491" t="str">
        <f>T("   Joints en caoutchouc vulcanisé non durci (à l'excl. des articles en caoutchouc alvéolaire)")</f>
        <v xml:space="preserve">   Joints en caoutchouc vulcanisé non durci (à l'excl. des articles en caoutchouc alvéolaire)</v>
      </c>
      <c r="C11491">
        <v>6463344</v>
      </c>
      <c r="D11491">
        <v>352</v>
      </c>
    </row>
    <row r="11492" spans="1:4" x14ac:dyDescent="0.25">
      <c r="A11492" t="str">
        <f>T("   440349")</f>
        <v xml:space="preserve">   440349</v>
      </c>
      <c r="B11492" t="s">
        <v>169</v>
      </c>
      <c r="C11492">
        <v>75441958</v>
      </c>
      <c r="D11492">
        <v>297860</v>
      </c>
    </row>
    <row r="11493" spans="1:4" x14ac:dyDescent="0.25">
      <c r="A11493" t="str">
        <f>T("   480256")</f>
        <v xml:space="preserve">   480256</v>
      </c>
      <c r="B11493" t="s">
        <v>194</v>
      </c>
      <c r="C11493">
        <v>27953348</v>
      </c>
      <c r="D11493">
        <v>59880</v>
      </c>
    </row>
    <row r="11494" spans="1:4" x14ac:dyDescent="0.25">
      <c r="A11494" t="str">
        <f>T("   480257")</f>
        <v xml:space="preserve">   480257</v>
      </c>
      <c r="B11494" t="s">
        <v>195</v>
      </c>
      <c r="C11494">
        <v>5612202</v>
      </c>
      <c r="D11494">
        <v>13030</v>
      </c>
    </row>
    <row r="11495" spans="1:4" x14ac:dyDescent="0.25">
      <c r="A11495" t="str">
        <f>T("   481029")</f>
        <v xml:space="preserve">   481029</v>
      </c>
      <c r="B11495" t="s">
        <v>209</v>
      </c>
      <c r="C11495">
        <v>11692192</v>
      </c>
      <c r="D11495">
        <v>19980</v>
      </c>
    </row>
    <row r="11496" spans="1:4" x14ac:dyDescent="0.25">
      <c r="A11496" t="str">
        <f>T("   490199")</f>
        <v xml:space="preserve">   490199</v>
      </c>
      <c r="B11496"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11496">
        <v>294116</v>
      </c>
      <c r="D11496">
        <v>428</v>
      </c>
    </row>
    <row r="11497" spans="1:4" x14ac:dyDescent="0.25">
      <c r="A11497" t="str">
        <f>T("   490290")</f>
        <v xml:space="preserve">   490290</v>
      </c>
      <c r="B11497" t="str">
        <f>T("   Journaux et publications périodiques imprimés, même illustrés ou contenant de la publicité (à l'excl. des journaux et publications paraissant au moins quatre fois par semaine)")</f>
        <v xml:space="preserve">   Journaux et publications périodiques imprimés, même illustrés ou contenant de la publicité (à l'excl. des journaux et publications paraissant au moins quatre fois par semaine)</v>
      </c>
      <c r="C11497">
        <v>664172</v>
      </c>
      <c r="D11497">
        <v>363</v>
      </c>
    </row>
    <row r="11498" spans="1:4" x14ac:dyDescent="0.25">
      <c r="A11498" t="str">
        <f>T("   491000")</f>
        <v xml:space="preserve">   491000</v>
      </c>
      <c r="B11498" t="str">
        <f>T("   Calendriers de tous genres, imprimés, y.c. les blocs de calendriers à effeuiller")</f>
        <v xml:space="preserve">   Calendriers de tous genres, imprimés, y.c. les blocs de calendriers à effeuiller</v>
      </c>
      <c r="C11498">
        <v>138527</v>
      </c>
      <c r="D11498">
        <v>255</v>
      </c>
    </row>
    <row r="11499" spans="1:4" x14ac:dyDescent="0.25">
      <c r="A11499" t="str">
        <f>T("   491110")</f>
        <v xml:space="preserve">   491110</v>
      </c>
      <c r="B11499" t="str">
        <f>T("   Imprimés publicitaires, catalogues commerciaux et simil.")</f>
        <v xml:space="preserve">   Imprimés publicitaires, catalogues commerciaux et simil.</v>
      </c>
      <c r="C11499">
        <v>10503</v>
      </c>
      <c r="D11499">
        <v>20</v>
      </c>
    </row>
    <row r="11500" spans="1:4" x14ac:dyDescent="0.25">
      <c r="A11500" t="str">
        <f>T("   551519")</f>
        <v xml:space="preserve">   551519</v>
      </c>
      <c r="B11500" t="s">
        <v>239</v>
      </c>
      <c r="C11500">
        <v>16797824</v>
      </c>
      <c r="D11500">
        <v>10000</v>
      </c>
    </row>
    <row r="11501" spans="1:4" x14ac:dyDescent="0.25">
      <c r="A11501" t="str">
        <f>T("   610910")</f>
        <v xml:space="preserve">   610910</v>
      </c>
      <c r="B11501" t="str">
        <f>T("   T-shirts et maillots de corps, en bonneterie, de coton,")</f>
        <v xml:space="preserve">   T-shirts et maillots de corps, en bonneterie, de coton,</v>
      </c>
      <c r="C11501">
        <v>169716</v>
      </c>
      <c r="D11501">
        <v>209</v>
      </c>
    </row>
    <row r="11502" spans="1:4" x14ac:dyDescent="0.25">
      <c r="A11502" t="str">
        <f>T("   610990")</f>
        <v xml:space="preserve">   610990</v>
      </c>
      <c r="B11502" t="str">
        <f>T("   T-shirts et maillots de corps, en bonneterie, de matières textiles (sauf de coton)")</f>
        <v xml:space="preserve">   T-shirts et maillots de corps, en bonneterie, de matières textiles (sauf de coton)</v>
      </c>
      <c r="C11502">
        <v>139064</v>
      </c>
      <c r="D11502">
        <v>30</v>
      </c>
    </row>
    <row r="11503" spans="1:4" x14ac:dyDescent="0.25">
      <c r="A11503" t="str">
        <f>T("   620590")</f>
        <v xml:space="preserve">   620590</v>
      </c>
      <c r="B11503"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1503">
        <v>1400000</v>
      </c>
      <c r="D11503">
        <v>1548</v>
      </c>
    </row>
    <row r="11504" spans="1:4" x14ac:dyDescent="0.25">
      <c r="A11504" t="str">
        <f>T("   650590")</f>
        <v xml:space="preserve">   650590</v>
      </c>
      <c r="B11504" t="s">
        <v>290</v>
      </c>
      <c r="C11504">
        <v>6797</v>
      </c>
      <c r="D11504">
        <v>13</v>
      </c>
    </row>
    <row r="11505" spans="1:4" x14ac:dyDescent="0.25">
      <c r="A11505" t="str">
        <f>T("   650699")</f>
        <v xml:space="preserve">   650699</v>
      </c>
      <c r="B11505" t="str">
        <f>T("   Chapeaux et autres coiffures, même garnis, n.d.a.")</f>
        <v xml:space="preserve">   Chapeaux et autres coiffures, même garnis, n.d.a.</v>
      </c>
      <c r="C11505">
        <v>68220</v>
      </c>
      <c r="D11505">
        <v>249</v>
      </c>
    </row>
    <row r="11506" spans="1:4" x14ac:dyDescent="0.25">
      <c r="A11506" t="str">
        <f>T("   690890")</f>
        <v xml:space="preserve">   690890</v>
      </c>
      <c r="B11506" t="s">
        <v>311</v>
      </c>
      <c r="C11506">
        <v>1164956</v>
      </c>
      <c r="D11506">
        <v>15279</v>
      </c>
    </row>
    <row r="11507" spans="1:4" x14ac:dyDescent="0.25">
      <c r="A11507" t="str">
        <f>T("   691090")</f>
        <v xml:space="preserve">   691090</v>
      </c>
      <c r="B11507" t="s">
        <v>313</v>
      </c>
      <c r="C11507">
        <v>188186</v>
      </c>
      <c r="D11507">
        <v>258</v>
      </c>
    </row>
    <row r="11508" spans="1:4" x14ac:dyDescent="0.25">
      <c r="A11508" t="str">
        <f>T("   700721")</f>
        <v xml:space="preserve">   700721</v>
      </c>
      <c r="B11508" t="s">
        <v>321</v>
      </c>
      <c r="C11508">
        <v>845573</v>
      </c>
      <c r="D11508">
        <v>49</v>
      </c>
    </row>
    <row r="11509" spans="1:4" x14ac:dyDescent="0.25">
      <c r="A11509" t="str">
        <f>T("   720839")</f>
        <v xml:space="preserve">   720839</v>
      </c>
      <c r="B11509" t="str">
        <f>T("   PRODUITS LAMINÉS PLATS, EN FER OU EN ACIERS NON ALLIÉS, D'UNE LARGEUR &gt;= 600 MM, ENROULÉS, SIMPLEMENT LAMINÉS À CHAUD, NON PLAQUÉS NI REVÊTUS, ÉPAISSEUR &lt; 3 MM (SANS MOTIFS EN RELIEF, ET AUTRES QUE DÉCAPÉS)")</f>
        <v xml:space="preserve">   PRODUITS LAMINÉS PLATS, EN FER OU EN ACIERS NON ALLIÉS, D'UNE LARGEUR &gt;= 600 MM, ENROULÉS, SIMPLEMENT LAMINÉS À CHAUD, NON PLAQUÉS NI REVÊTUS, ÉPAISSEUR &lt; 3 MM (SANS MOTIFS EN RELIEF, ET AUTRES QUE DÉCAPÉS)</v>
      </c>
      <c r="C11509">
        <v>691448761</v>
      </c>
      <c r="D11509">
        <v>1985360</v>
      </c>
    </row>
    <row r="11510" spans="1:4" x14ac:dyDescent="0.25">
      <c r="A11510" t="str">
        <f>T("   720916")</f>
        <v xml:space="preserve">   720916</v>
      </c>
      <c r="B11510" t="str">
        <f>T("   PRODUITS LAMINÉS PLATS, EN FER OU EN ACIERS NON-ALLIÉS, D'UNE LARGEUR &gt;= 600 MM, NON-PLAQUÉS NI REVÊTUS, ENROULÉS, SIMPL. LAMINÉS À FROID, D'UNE ÉPAISSEUR &gt; 1 MM MAIS &lt; 3 MM")</f>
        <v xml:space="preserve">   PRODUITS LAMINÉS PLATS, EN FER OU EN ACIERS NON-ALLIÉS, D'UNE LARGEUR &gt;= 600 MM, NON-PLAQUÉS NI REVÊTUS, ENROULÉS, SIMPL. LAMINÉS À FROID, D'UNE ÉPAISSEUR &gt; 1 MM MAIS &lt; 3 MM</v>
      </c>
      <c r="C11510">
        <v>15219679</v>
      </c>
      <c r="D11510">
        <v>43000</v>
      </c>
    </row>
    <row r="11511" spans="1:4" x14ac:dyDescent="0.25">
      <c r="A11511" t="str">
        <f>T("   720917")</f>
        <v xml:space="preserve">   720917</v>
      </c>
      <c r="B11511" t="str">
        <f>T("   PRODUITS LAMINÉS PLATS, EN FER OU EN ACIERS NON-ALLIÉS, D'UNE LARGEUR &gt;= 600 MM, NON-PLAQUÉS NI REVÊTUS, ENROULÉS, SIMPL. LAMINÉS À FROID, D'UNE ÉPAISSEUR &gt;= 0,5 MM MAIS &lt;= 1 MM")</f>
        <v xml:space="preserve">   PRODUITS LAMINÉS PLATS, EN FER OU EN ACIERS NON-ALLIÉS, D'UNE LARGEUR &gt;= 600 MM, NON-PLAQUÉS NI REVÊTUS, ENROULÉS, SIMPL. LAMINÉS À FROID, D'UNE ÉPAISSEUR &gt;= 0,5 MM MAIS &lt;= 1 MM</v>
      </c>
      <c r="C11511">
        <v>412089536</v>
      </c>
      <c r="D11511">
        <v>1160108</v>
      </c>
    </row>
    <row r="11512" spans="1:4" x14ac:dyDescent="0.25">
      <c r="A11512" t="str">
        <f>T("   721391")</f>
        <v xml:space="preserve">   721391</v>
      </c>
      <c r="B11512"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11512">
        <v>1216337855</v>
      </c>
      <c r="D11512">
        <v>3668464</v>
      </c>
    </row>
    <row r="11513" spans="1:4" x14ac:dyDescent="0.25">
      <c r="A11513" t="str">
        <f>T("   721399")</f>
        <v xml:space="preserve">   721399</v>
      </c>
      <c r="B11513" t="s">
        <v>344</v>
      </c>
      <c r="C11513">
        <v>119797975</v>
      </c>
      <c r="D11513">
        <v>452770</v>
      </c>
    </row>
    <row r="11514" spans="1:4" x14ac:dyDescent="0.25">
      <c r="A11514" t="str">
        <f>T("   721621")</f>
        <v xml:space="preserve">   721621</v>
      </c>
      <c r="B11514" t="str">
        <f>T("   PROFILÉS EN L EN FER OU ACIERS NON ALLIÉS, SIMPLEMENT LAMINÉS OU FILÉS À CHAUD, HAUTEUR &lt; 80 MM")</f>
        <v xml:space="preserve">   PROFILÉS EN L EN FER OU ACIERS NON ALLIÉS, SIMPLEMENT LAMINÉS OU FILÉS À CHAUD, HAUTEUR &lt; 80 MM</v>
      </c>
      <c r="C11514">
        <v>151903184</v>
      </c>
      <c r="D11514">
        <v>482387</v>
      </c>
    </row>
    <row r="11515" spans="1:4" x14ac:dyDescent="0.25">
      <c r="A11515" t="str">
        <f>T("   721650")</f>
        <v xml:space="preserve">   721650</v>
      </c>
      <c r="B11515" t="str">
        <f>T("   PROFILÉS, EN FER OU EN ACIERS NON-ALLIÉS, SIMPL. LAMINÉS OU FILÉS À CHAUD (À L'EXCL. DES PROFILÉS EN U, EN I, EN H, EN L OU EN T)")</f>
        <v xml:space="preserve">   PROFILÉS, EN FER OU EN ACIERS NON-ALLIÉS, SIMPL. LAMINÉS OU FILÉS À CHAUD (À L'EXCL. DES PROFILÉS EN U, EN I, EN H, EN L OU EN T)</v>
      </c>
      <c r="C11515">
        <v>141466958</v>
      </c>
      <c r="D11515">
        <v>493115</v>
      </c>
    </row>
    <row r="11516" spans="1:4" x14ac:dyDescent="0.25">
      <c r="A11516" t="str">
        <f>T("   731816")</f>
        <v xml:space="preserve">   731816</v>
      </c>
      <c r="B11516" t="str">
        <f>T("   ÉCROUS EN FONTE, FER OU ACIER")</f>
        <v xml:space="preserve">   ÉCROUS EN FONTE, FER OU ACIER</v>
      </c>
      <c r="C11516">
        <v>247309</v>
      </c>
      <c r="D11516">
        <v>13</v>
      </c>
    </row>
    <row r="11517" spans="1:4" x14ac:dyDescent="0.25">
      <c r="A11517" t="str">
        <f>T("   732394")</f>
        <v xml:space="preserve">   732394</v>
      </c>
      <c r="B11517" t="s">
        <v>367</v>
      </c>
      <c r="C11517">
        <v>1400000</v>
      </c>
      <c r="D11517">
        <v>1400</v>
      </c>
    </row>
    <row r="11518" spans="1:4" x14ac:dyDescent="0.25">
      <c r="A11518" t="str">
        <f>T("   732620")</f>
        <v xml:space="preserve">   732620</v>
      </c>
      <c r="B11518" t="str">
        <f>T("   Ouvrages en fil de fer ou d'acier, n.d.a.")</f>
        <v xml:space="preserve">   Ouvrages en fil de fer ou d'acier, n.d.a.</v>
      </c>
      <c r="C11518">
        <v>46973347</v>
      </c>
      <c r="D11518">
        <v>76829</v>
      </c>
    </row>
    <row r="11519" spans="1:4" x14ac:dyDescent="0.25">
      <c r="A11519" t="str">
        <f>T("   830140")</f>
        <v xml:space="preserve">   830140</v>
      </c>
      <c r="B11519" t="str">
        <f>T("   Serrures et verrous, en métaux communs (autres que cadenas et serrures des types utilisés pour véhicules automobiles ou meubles)")</f>
        <v xml:space="preserve">   Serrures et verrous, en métaux communs (autres que cadenas et serrures des types utilisés pour véhicules automobiles ou meubles)</v>
      </c>
      <c r="C11519">
        <v>67209</v>
      </c>
      <c r="D11519">
        <v>235</v>
      </c>
    </row>
    <row r="11520" spans="1:4" x14ac:dyDescent="0.25">
      <c r="A11520" t="str">
        <f>T("   830230")</f>
        <v xml:space="preserve">   830230</v>
      </c>
      <c r="B11520" t="str">
        <f>T("   Garnitures, ferrures et simil. en métaux communs, pour véhicules automobiles (sauf charnières et serrures)")</f>
        <v xml:space="preserve">   Garnitures, ferrures et simil. en métaux communs, pour véhicules automobiles (sauf charnières et serrures)</v>
      </c>
      <c r="C11520">
        <v>132301</v>
      </c>
      <c r="D11520">
        <v>8</v>
      </c>
    </row>
    <row r="11521" spans="1:4" x14ac:dyDescent="0.25">
      <c r="A11521" t="str">
        <f>T("   840991")</f>
        <v xml:space="preserve">   840991</v>
      </c>
      <c r="B11521" t="str">
        <f>T("   Parties reconnaissables comme étant exclusivement ou principalement destinées aux moteurs à piston à allumage par étincelles, n.d.a.")</f>
        <v xml:space="preserve">   Parties reconnaissables comme étant exclusivement ou principalement destinées aux moteurs à piston à allumage par étincelles, n.d.a.</v>
      </c>
      <c r="C11521">
        <v>552691</v>
      </c>
      <c r="D11521">
        <v>32</v>
      </c>
    </row>
    <row r="11522" spans="1:4" x14ac:dyDescent="0.25">
      <c r="A11522" t="str">
        <f>T("   841330")</f>
        <v xml:space="preserve">   841330</v>
      </c>
      <c r="B11522" t="str">
        <f>T("   Pompes à carburant, à huile ou à liquide de refroidissement pour moteurs à allumage par étincelles ou par compression")</f>
        <v xml:space="preserve">   Pompes à carburant, à huile ou à liquide de refroidissement pour moteurs à allumage par étincelles ou par compression</v>
      </c>
      <c r="C11522">
        <v>529202</v>
      </c>
      <c r="D11522">
        <v>30</v>
      </c>
    </row>
    <row r="11523" spans="1:4" x14ac:dyDescent="0.25">
      <c r="A11523" t="str">
        <f>T("   841370")</f>
        <v xml:space="preserve">   841370</v>
      </c>
      <c r="B11523" t="s">
        <v>396</v>
      </c>
      <c r="C11523">
        <v>2216489</v>
      </c>
      <c r="D11523">
        <v>706</v>
      </c>
    </row>
    <row r="11524" spans="1:4" x14ac:dyDescent="0.25">
      <c r="A11524" t="str">
        <f>T("   841382")</f>
        <v xml:space="preserve">   841382</v>
      </c>
      <c r="B11524" t="str">
        <f>T("   Elévateurs à liquides (à l'excl. des pompes)")</f>
        <v xml:space="preserve">   Elévateurs à liquides (à l'excl. des pompes)</v>
      </c>
      <c r="C11524">
        <v>7609614</v>
      </c>
      <c r="D11524">
        <v>1151</v>
      </c>
    </row>
    <row r="11525" spans="1:4" x14ac:dyDescent="0.25">
      <c r="A11525" t="str">
        <f>T("   841392")</f>
        <v xml:space="preserve">   841392</v>
      </c>
      <c r="B11525" t="str">
        <f>T("   Parties d'élévateurs à liquides, n.d.a.")</f>
        <v xml:space="preserve">   Parties d'élévateurs à liquides, n.d.a.</v>
      </c>
      <c r="C11525">
        <v>976934</v>
      </c>
      <c r="D11525">
        <v>148</v>
      </c>
    </row>
    <row r="11526" spans="1:4" x14ac:dyDescent="0.25">
      <c r="A11526" t="str">
        <f>T("   841459")</f>
        <v xml:space="preserve">   841459</v>
      </c>
      <c r="B11526" t="str">
        <f>T("   Ventilateurs (sauf ventilateurs de table, de sol, muraux, plafonniers, de toitures ou de fenêtres, à moteur électrique incorporé, d'une puissance &lt;= 125 W)")</f>
        <v xml:space="preserve">   Ventilateurs (sauf ventilateurs de table, de sol, muraux, plafonniers, de toitures ou de fenêtres, à moteur électrique incorporé, d'une puissance &lt;= 125 W)</v>
      </c>
      <c r="C11526">
        <v>5828896</v>
      </c>
      <c r="D11526">
        <v>11125</v>
      </c>
    </row>
    <row r="11527" spans="1:4" x14ac:dyDescent="0.25">
      <c r="A11527" t="str">
        <f>T("   841490")</f>
        <v xml:space="preserve">   841490</v>
      </c>
      <c r="B11527" t="str">
        <f>T("   Parties de pompes à air ou à vide, de compresseurs d'air ou d'autres gaz et de ventilateurs, de hottes aspirantes à extraction ou à recyclage, à ventilateur incorporé, n.d.a.")</f>
        <v xml:space="preserve">   Parties de pompes à air ou à vide, de compresseurs d'air ou d'autres gaz et de ventilateurs, de hottes aspirantes à extraction ou à recyclage, à ventilateur incorporé, n.d.a.</v>
      </c>
      <c r="C11527">
        <v>97787</v>
      </c>
      <c r="D11527">
        <v>186</v>
      </c>
    </row>
    <row r="11528" spans="1:4" x14ac:dyDescent="0.25">
      <c r="A11528" t="str">
        <f>T("   841829")</f>
        <v xml:space="preserve">   841829</v>
      </c>
      <c r="B11528" t="str">
        <f>T("   Réfrigérateurs ménagers à absorption, non-électriques")</f>
        <v xml:space="preserve">   Réfrigérateurs ménagers à absorption, non-électriques</v>
      </c>
      <c r="C11528">
        <v>50838868</v>
      </c>
      <c r="D11528">
        <v>7846</v>
      </c>
    </row>
    <row r="11529" spans="1:4" x14ac:dyDescent="0.25">
      <c r="A11529" t="str">
        <f>T("   842123")</f>
        <v xml:space="preserve">   842123</v>
      </c>
      <c r="B11529" t="str">
        <f>T("   Appareils pour la filtration des huiles minérales et carburants pour les moteurs à allumage par étincelles ou par compression")</f>
        <v xml:space="preserve">   Appareils pour la filtration des huiles minérales et carburants pour les moteurs à allumage par étincelles ou par compression</v>
      </c>
      <c r="C11529">
        <v>6154442</v>
      </c>
      <c r="D11529">
        <v>342</v>
      </c>
    </row>
    <row r="11530" spans="1:4" x14ac:dyDescent="0.25">
      <c r="A11530" t="str">
        <f>T("   843120")</f>
        <v xml:space="preserve">   843120</v>
      </c>
      <c r="B11530" t="str">
        <f>T("   Parties de chariots-gerbeurs et autres chariots de manutention munis d'un dispositif de levage, n.d.a.")</f>
        <v xml:space="preserve">   Parties de chariots-gerbeurs et autres chariots de manutention munis d'un dispositif de levage, n.d.a.</v>
      </c>
      <c r="C11530">
        <v>4768164</v>
      </c>
      <c r="D11530">
        <v>729</v>
      </c>
    </row>
    <row r="11531" spans="1:4" x14ac:dyDescent="0.25">
      <c r="A11531" t="str">
        <f>T("   843390")</f>
        <v xml:space="preserve">   843390</v>
      </c>
      <c r="B11531" t="str">
        <f>T("   Parties des machines, appareils et engins pour la récolte, le battage et le fauchage, et des machines pour le nettoyage ou le triage des produits agricoles, n.d.a.")</f>
        <v xml:space="preserve">   Parties des machines, appareils et engins pour la récolte, le battage et le fauchage, et des machines pour le nettoyage ou le triage des produits agricoles, n.d.a.</v>
      </c>
      <c r="C11531">
        <v>424645</v>
      </c>
      <c r="D11531">
        <v>14</v>
      </c>
    </row>
    <row r="11532" spans="1:4" x14ac:dyDescent="0.25">
      <c r="A11532" t="str">
        <f>T("   848180")</f>
        <v xml:space="preserve">   848180</v>
      </c>
      <c r="B11532"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11532">
        <v>29846593</v>
      </c>
      <c r="D11532">
        <v>5000</v>
      </c>
    </row>
    <row r="11533" spans="1:4" x14ac:dyDescent="0.25">
      <c r="A11533" t="str">
        <f>T("   851110")</f>
        <v xml:space="preserve">   851110</v>
      </c>
      <c r="B11533" t="str">
        <f>T("   Bougies d'allumage pour moteurs à allumage par étincelles ou par compression")</f>
        <v xml:space="preserve">   Bougies d'allumage pour moteurs à allumage par étincelles ou par compression</v>
      </c>
      <c r="C11533">
        <v>514822</v>
      </c>
      <c r="D11533">
        <v>30</v>
      </c>
    </row>
    <row r="11534" spans="1:4" x14ac:dyDescent="0.25">
      <c r="A11534" t="str">
        <f>T("   851230")</f>
        <v xml:space="preserve">   851230</v>
      </c>
      <c r="B11534" t="str">
        <f>T("   APPAREILS ÉLECTRIQUES DE SIGNALISATION ACOUSTIQUE, POUR CYCLES OU POUR AUTOMOBILES")</f>
        <v xml:space="preserve">   APPAREILS ÉLECTRIQUES DE SIGNALISATION ACOUSTIQUE, POUR CYCLES OU POUR AUTOMOBILES</v>
      </c>
      <c r="C11534">
        <v>419431</v>
      </c>
      <c r="D11534">
        <v>24</v>
      </c>
    </row>
    <row r="11535" spans="1:4" x14ac:dyDescent="0.25">
      <c r="A11535" t="str">
        <f>T("   851660")</f>
        <v xml:space="preserve">   851660</v>
      </c>
      <c r="B11535" t="str">
        <f>T("   Fours, cuisinières, réchauds, tables de cuisson, grils et rôtissoires électriques, pour usages domestiques (sauf fours destinés au chauffage des locaux et fours à micro-ondes)")</f>
        <v xml:space="preserve">   Fours, cuisinières, réchauds, tables de cuisson, grils et rôtissoires électriques, pour usages domestiques (sauf fours destinés au chauffage des locaux et fours à micro-ondes)</v>
      </c>
      <c r="C11535">
        <v>350847</v>
      </c>
      <c r="D11535">
        <v>544</v>
      </c>
    </row>
    <row r="11536" spans="1:4" x14ac:dyDescent="0.25">
      <c r="A11536" t="str">
        <f>T("   851780")</f>
        <v xml:space="preserve">   851780</v>
      </c>
      <c r="B11536" t="s">
        <v>458</v>
      </c>
      <c r="C11536">
        <v>95220295</v>
      </c>
      <c r="D11536">
        <v>20092</v>
      </c>
    </row>
    <row r="11537" spans="1:4" x14ac:dyDescent="0.25">
      <c r="A11537" t="str">
        <f>T("   852692")</f>
        <v xml:space="preserve">   852692</v>
      </c>
      <c r="B11537" t="str">
        <f>T("   Appareils de radiotélécommande")</f>
        <v xml:space="preserve">   Appareils de radiotélécommande</v>
      </c>
      <c r="C11537">
        <v>4832464</v>
      </c>
      <c r="D11537">
        <v>881</v>
      </c>
    </row>
    <row r="11538" spans="1:4" x14ac:dyDescent="0.25">
      <c r="A11538" t="str">
        <f>T("   852910")</f>
        <v xml:space="preserve">   852910</v>
      </c>
      <c r="B11538"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11538">
        <v>1439488</v>
      </c>
      <c r="D11538">
        <v>114</v>
      </c>
    </row>
    <row r="11539" spans="1:4" x14ac:dyDescent="0.25">
      <c r="A11539" t="str">
        <f>T("   853939")</f>
        <v xml:space="preserve">   853939</v>
      </c>
      <c r="B11539" t="str">
        <f>T("   Lampes et tubes à décharge (autres que fluorescents, à cathode chaude, à vapeur de mercure ou de sodium, à halogénure métallique et qu'à rayons ultraviolets)")</f>
        <v xml:space="preserve">   Lampes et tubes à décharge (autres que fluorescents, à cathode chaude, à vapeur de mercure ou de sodium, à halogénure métallique et qu'à rayons ultraviolets)</v>
      </c>
      <c r="C11539">
        <v>179224</v>
      </c>
      <c r="D11539">
        <v>188</v>
      </c>
    </row>
    <row r="11540" spans="1:4" x14ac:dyDescent="0.25">
      <c r="A11540" t="str">
        <f>T("   854210")</f>
        <v xml:space="preserve">   854210</v>
      </c>
      <c r="B11540" t="str">
        <f>T("   Cartes munies d'un circuit intégré électronique [cartes intelligentes], munies ou non d'une piste magnétique")</f>
        <v xml:space="preserve">   Cartes munies d'un circuit intégré électronique [cartes intelligentes], munies ou non d'une piste magnétique</v>
      </c>
      <c r="C11540">
        <v>37869883</v>
      </c>
      <c r="D11540">
        <v>1400</v>
      </c>
    </row>
    <row r="11541" spans="1:4" x14ac:dyDescent="0.25">
      <c r="A11541" t="str">
        <f>T("   870322")</f>
        <v xml:space="preserve">   870322</v>
      </c>
      <c r="B11541" t="s">
        <v>480</v>
      </c>
      <c r="C11541">
        <v>2212191</v>
      </c>
      <c r="D11541">
        <v>1500</v>
      </c>
    </row>
    <row r="11542" spans="1:4" x14ac:dyDescent="0.25">
      <c r="A11542" t="str">
        <f>T("   870323")</f>
        <v xml:space="preserve">   870323</v>
      </c>
      <c r="B11542" t="s">
        <v>481</v>
      </c>
      <c r="C11542">
        <v>79801874</v>
      </c>
      <c r="D11542">
        <v>12330</v>
      </c>
    </row>
    <row r="11543" spans="1:4" x14ac:dyDescent="0.25">
      <c r="A11543" t="str">
        <f>T("   870333")</f>
        <v xml:space="preserve">   870333</v>
      </c>
      <c r="B11543" t="s">
        <v>485</v>
      </c>
      <c r="C11543">
        <v>23500000</v>
      </c>
      <c r="D11543">
        <v>1900</v>
      </c>
    </row>
    <row r="11544" spans="1:4" x14ac:dyDescent="0.25">
      <c r="A11544" t="str">
        <f>T("   870421")</f>
        <v xml:space="preserve">   870421</v>
      </c>
      <c r="B11544" t="s">
        <v>486</v>
      </c>
      <c r="C11544">
        <v>74575660</v>
      </c>
      <c r="D11544">
        <v>12788</v>
      </c>
    </row>
    <row r="11545" spans="1:4" x14ac:dyDescent="0.25">
      <c r="A11545" t="str">
        <f>T("   870422")</f>
        <v xml:space="preserve">   870422</v>
      </c>
      <c r="B11545" t="s">
        <v>487</v>
      </c>
      <c r="C11545">
        <v>17450000</v>
      </c>
      <c r="D11545">
        <v>1870</v>
      </c>
    </row>
    <row r="11546" spans="1:4" x14ac:dyDescent="0.25">
      <c r="A11546" t="str">
        <f>T("   870899")</f>
        <v xml:space="preserve">   870899</v>
      </c>
      <c r="B11546"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11546">
        <v>12614046</v>
      </c>
      <c r="D11546">
        <v>532</v>
      </c>
    </row>
    <row r="11547" spans="1:4" x14ac:dyDescent="0.25">
      <c r="A11547" t="str">
        <f>T("   900830")</f>
        <v xml:space="preserve">   900830</v>
      </c>
      <c r="B11547" t="str">
        <f>T("   Projecteurs d'images fixes (à l'excl. des projecteurs de diapositives et des lecteurs de microfilms, de microfiches ou d'autres microformats)")</f>
        <v xml:space="preserve">   Projecteurs d'images fixes (à l'excl. des projecteurs de diapositives et des lecteurs de microfilms, de microfiches ou d'autres microformats)</v>
      </c>
      <c r="C11547">
        <v>1468694</v>
      </c>
      <c r="D11547">
        <v>265</v>
      </c>
    </row>
    <row r="11548" spans="1:4" x14ac:dyDescent="0.25">
      <c r="A11548" t="str">
        <f>T("   940169")</f>
        <v xml:space="preserve">   940169</v>
      </c>
      <c r="B11548" t="str">
        <f>T("   Sièges, avec bâti en bois, non rembourrés")</f>
        <v xml:space="preserve">   Sièges, avec bâti en bois, non rembourrés</v>
      </c>
      <c r="C11548">
        <v>2500000</v>
      </c>
      <c r="D11548">
        <v>6136</v>
      </c>
    </row>
    <row r="11549" spans="1:4" x14ac:dyDescent="0.25">
      <c r="A11549" t="str">
        <f>T("   940320")</f>
        <v xml:space="preserve">   940320</v>
      </c>
      <c r="B11549"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11549">
        <v>7842</v>
      </c>
      <c r="D11549">
        <v>16</v>
      </c>
    </row>
    <row r="11550" spans="1:4" x14ac:dyDescent="0.25">
      <c r="A11550" t="str">
        <f>T("   940350")</f>
        <v xml:space="preserve">   940350</v>
      </c>
      <c r="B11550" t="str">
        <f>T("   Meubles pour chambres à coucher, en bois (sauf sièges)")</f>
        <v xml:space="preserve">   Meubles pour chambres à coucher, en bois (sauf sièges)</v>
      </c>
      <c r="C11550">
        <v>7532326</v>
      </c>
      <c r="D11550">
        <v>3776</v>
      </c>
    </row>
    <row r="11551" spans="1:4" x14ac:dyDescent="0.25">
      <c r="A11551" t="str">
        <f>T("   940380")</f>
        <v xml:space="preserve">   940380</v>
      </c>
      <c r="B11551" t="str">
        <f>T("   Meubles en rotin, osier, bambou ou autres matières (sauf métal, bois et matières plastiques)")</f>
        <v xml:space="preserve">   Meubles en rotin, osier, bambou ou autres matières (sauf métal, bois et matières plastiques)</v>
      </c>
      <c r="C11551">
        <v>49660763</v>
      </c>
      <c r="D11551">
        <v>18869</v>
      </c>
    </row>
    <row r="11552" spans="1:4" x14ac:dyDescent="0.25">
      <c r="A11552" t="str">
        <f>T("ZW")</f>
        <v>ZW</v>
      </c>
      <c r="B11552" t="str">
        <f>T("Zimbabwe")</f>
        <v>Zimbabwe</v>
      </c>
    </row>
    <row r="11553" spans="1:4" x14ac:dyDescent="0.25">
      <c r="A11553" t="str">
        <f>T("   ZZ_Total_Produit_SH6")</f>
        <v xml:space="preserve">   ZZ_Total_Produit_SH6</v>
      </c>
      <c r="B11553" t="str">
        <f>T("   ZZ_Total_Produit_SH6")</f>
        <v xml:space="preserve">   ZZ_Total_Produit_SH6</v>
      </c>
      <c r="C11553">
        <v>21606675</v>
      </c>
      <c r="D11553">
        <v>11092</v>
      </c>
    </row>
    <row r="11554" spans="1:4" x14ac:dyDescent="0.25">
      <c r="A11554" t="str">
        <f>T("   271129")</f>
        <v xml:space="preserve">   271129</v>
      </c>
      <c r="B11554" t="str">
        <f>T("   Hydrocarbures à l'état gazeux, n.d.a. (à l'excl. du gaz naturel)")</f>
        <v xml:space="preserve">   Hydrocarbures à l'état gazeux, n.d.a. (à l'excl. du gaz naturel)</v>
      </c>
      <c r="C11554">
        <v>916730</v>
      </c>
      <c r="D11554">
        <v>4500</v>
      </c>
    </row>
    <row r="11555" spans="1:4" x14ac:dyDescent="0.25">
      <c r="A11555" t="str">
        <f>T("   621040")</f>
        <v xml:space="preserve">   621040</v>
      </c>
      <c r="B11555" t="s">
        <v>271</v>
      </c>
      <c r="C11555">
        <v>582890</v>
      </c>
      <c r="D11555">
        <v>308</v>
      </c>
    </row>
    <row r="11556" spans="1:4" x14ac:dyDescent="0.25">
      <c r="A11556" t="str">
        <f>T("   640510")</f>
        <v xml:space="preserve">   640510</v>
      </c>
      <c r="B11556" t="str">
        <f>T("   Chaussures à dessus en cuir naturel ou reconstitué (sauf à semelles extérieures en caoutchouc, matière plastique, cuir naturel ou reconstitué et à dessus en cuir naturel et sauf chaussures d'orthopédie et chaussures ayant le caractère de jouets)")</f>
        <v xml:space="preserve">   Chaussures à dessus en cuir naturel ou reconstitué (sauf à semelles extérieures en caoutchouc, matière plastique, cuir naturel ou reconstitué et à dessus en cuir naturel et sauf chaussures d'orthopédie et chaussures ayant le caractère de jouets)</v>
      </c>
      <c r="C11556">
        <v>157227</v>
      </c>
      <c r="D11556">
        <v>83</v>
      </c>
    </row>
    <row r="11557" spans="1:4" x14ac:dyDescent="0.25">
      <c r="A11557" t="str">
        <f>T("   852090")</f>
        <v xml:space="preserve">   852090</v>
      </c>
      <c r="B11557" t="str">
        <f>T("   Appareils d'enregistrement du son, incorporant également un dispositif de reproduction du son (autres qu'appareils d'enregistrement et de reproduction du son utilisant des bandes magnétiques sur bobines)")</f>
        <v xml:space="preserve">   Appareils d'enregistrement du son, incorporant également un dispositif de reproduction du son (autres qu'appareils d'enregistrement et de reproduction du son utilisant des bandes magnétiques sur bobines)</v>
      </c>
      <c r="C11557">
        <v>68547</v>
      </c>
      <c r="D11557">
        <v>36</v>
      </c>
    </row>
    <row r="11558" spans="1:4" x14ac:dyDescent="0.25">
      <c r="A11558" t="str">
        <f>T("   852812")</f>
        <v xml:space="preserve">   852812</v>
      </c>
      <c r="B11558"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11558">
        <v>167773</v>
      </c>
      <c r="D11558">
        <v>90</v>
      </c>
    </row>
    <row r="11559" spans="1:4" x14ac:dyDescent="0.25">
      <c r="A11559" t="str">
        <f>T("   870322")</f>
        <v xml:space="preserve">   870322</v>
      </c>
      <c r="B11559" t="s">
        <v>480</v>
      </c>
      <c r="C11559">
        <v>3802444</v>
      </c>
      <c r="D11559">
        <v>1800</v>
      </c>
    </row>
    <row r="11560" spans="1:4" x14ac:dyDescent="0.25">
      <c r="A11560" t="str">
        <f>T("   940360")</f>
        <v xml:space="preserve">   940360</v>
      </c>
      <c r="B11560" t="str">
        <f>T("   Meubles en bois (autres que pour bureaux, cuisines ou chambres à coucher et autres que sièges)")</f>
        <v xml:space="preserve">   Meubles en bois (autres que pour bureaux, cuisines ou chambres à coucher et autres que sièges)</v>
      </c>
      <c r="C11560">
        <v>15768218</v>
      </c>
      <c r="D11560">
        <v>4200</v>
      </c>
    </row>
    <row r="11561" spans="1:4" x14ac:dyDescent="0.25">
      <c r="A11561" t="str">
        <f>T("   970110")</f>
        <v xml:space="preserve">   970110</v>
      </c>
      <c r="B11561" t="str">
        <f>T("   Tableaux, p.ex. peintures à l'huile, aquarelles et pastels, et dessins, faits entièrement à la main (à l'excl. des dessins du n° 4906 et des articles manufacturés décorés à la main)")</f>
        <v xml:space="preserve">   Tableaux, p.ex. peintures à l'huile, aquarelles et pastels, et dessins, faits entièrement à la main (à l'excl. des dessins du n° 4906 et des articles manufacturés décorés à la main)</v>
      </c>
      <c r="C11561">
        <v>142846</v>
      </c>
      <c r="D11561">
        <v>75</v>
      </c>
    </row>
    <row r="11562" spans="1:4" s="1" customFormat="1" x14ac:dyDescent="0.25">
      <c r="A11562" s="1" t="str">
        <f>T("   ZZ_Total_Produit_SH6")</f>
        <v xml:space="preserve">   ZZ_Total_Produit_SH6</v>
      </c>
      <c r="B11562" s="1" t="str">
        <f>T("   ZZ_Total_Produit_SH6")</f>
        <v xml:space="preserve">   ZZ_Total_Produit_SH6</v>
      </c>
      <c r="C11562" s="1">
        <v>999220322197.85999</v>
      </c>
      <c r="D11562" s="1">
        <v>3291203513.3800001</v>
      </c>
    </row>
    <row r="11564" spans="1:4" x14ac:dyDescent="0.25">
      <c r="A11564" t="s">
        <v>518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im part pro 2010</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2014-10-07T10:33:35Z</dcterms:created>
  <dcterms:modified xsi:type="dcterms:W3CDTF">2014-10-07T10:33:35Z</dcterms:modified>
</cp:coreProperties>
</file>